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CE1nJu/j7St5YgphNmd7f2p7S/Bpeii+8eMLI5wdmntSojYgsUuRh+PiGFjEFlqss+5l/7FiZp8TYFTAdnew+A==" workbookSaltValue="JMvIhTZNcbPa7vim8Ybu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BF9" i="8" s="1"/>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N13" i="2"/>
  <c r="T13" i="12"/>
  <c r="T13" i="16"/>
  <c r="T13" i="20"/>
  <c r="AU18" i="21"/>
  <c r="AH13" i="16"/>
  <c r="AP13" i="16"/>
  <c r="T18" i="17"/>
  <c r="BG15" i="13"/>
  <c r="BE15" i="13"/>
  <c r="AX20" i="20"/>
  <c r="AL16" i="11" l="1"/>
  <c r="C16" i="6"/>
  <c r="B18" i="7"/>
  <c r="BF15" i="8"/>
  <c r="S19" i="8"/>
  <c r="C12" i="14"/>
  <c r="K12" i="14" s="1"/>
  <c r="BG10" i="8"/>
  <c r="R8" i="9"/>
  <c r="BD15" i="13"/>
  <c r="BE16" i="13"/>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X15" i="16"/>
  <c r="X18" i="16" s="1"/>
  <c r="L12" i="2"/>
  <c r="BH12" i="16"/>
  <c r="S17" i="17"/>
  <c r="BH11" i="11"/>
  <c r="BJ10" i="11"/>
  <c r="BL15" i="11"/>
  <c r="P15" i="17"/>
  <c r="X17" i="17"/>
  <c r="AZ16" i="11"/>
  <c r="BU12" i="17"/>
  <c r="BU17" i="17"/>
  <c r="BU9" i="17"/>
  <c r="BV15" i="16"/>
  <c r="BV16" i="16"/>
  <c r="BW9" i="20"/>
  <c r="T15" i="16"/>
  <c r="BM15" i="11"/>
  <c r="BL11" i="11"/>
  <c r="BI17" i="11"/>
  <c r="BJ11" i="11"/>
  <c r="Q10" i="21"/>
  <c r="AZ17" i="11"/>
  <c r="BK15" i="11"/>
  <c r="V17"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BI10" i="11"/>
  <c r="R10" i="21"/>
  <c r="R13" i="21" s="1"/>
  <c r="R19" i="21" s="1"/>
  <c r="BH17" i="11"/>
  <c r="BU15" i="17"/>
  <c r="BW16" i="20"/>
  <c r="BV10" i="16"/>
  <c r="S15" i="16"/>
  <c r="S18" i="16" s="1"/>
  <c r="BL10" i="11"/>
  <c r="BG16" i="11"/>
  <c r="BK10" i="11"/>
  <c r="L17" i="2"/>
  <c r="S9" i="17"/>
  <c r="V9" i="11"/>
  <c r="T17" i="16"/>
  <c r="BW17" i="20"/>
  <c r="BW15" i="20"/>
  <c r="AZ11" i="11"/>
  <c r="BK16" i="11"/>
  <c r="BM9" i="11"/>
  <c r="Q9" i="11" s="1"/>
  <c r="S16" i="17"/>
  <c r="BG9" i="11"/>
  <c r="S11" i="17"/>
  <c r="BF12" i="11"/>
  <c r="S15" i="17"/>
  <c r="V10" i="16"/>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<sst xmlns="http://schemas.openxmlformats.org/spreadsheetml/2006/main" count="2074" uniqueCount="910">
  <si>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</si>
  <si>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</si>
  <si>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</si>
  <si>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</si>
  <si>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</si>
  <si>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</si>
  <si>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</si>
  <si>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</si>
  <si>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</si>
  <si>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</si>
  <si>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</si>
  <si>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</si>
  <si>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</si>
  <si>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</si>
  <si>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</si>
  <si>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</si>
  <si>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</si>
  <si>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</si>
  <si>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</si>
  <si>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</si>
  <si>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</si>
  <si>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</si>
  <si>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</si>
  <si>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</si>
  <si>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</si>
  <si>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</si>
  <si>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</si>
  <si>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</si>
  <si>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</si>
  <si>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</si>
  <si>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</si>
  <si>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</si>
  <si>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</si>
  <si>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</si>
  <si>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</si>
  <si>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</si>
  <si>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</si>
  <si>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</si>
  <si>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</si>
  <si>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</si>
  <si>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</si>
  <si>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</si>
  <si>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</si>
  <si>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</si>
  <si>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</si>
  <si>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</si>
  <si>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</si>
  <si>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</si>
  <si>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</si>
  <si>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</si>
  <si>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</si>
  <si>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</si>
  <si>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</si>
  <si>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</si>
  <si>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</si>
  <si>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</si>
  <si>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</si>
  <si>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</si>
  <si>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</si>
  <si>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</si>
  <si>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</si>
  <si>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</si>
  <si>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</si>
  <si>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</si>
  <si>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</si>
  <si>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</si>
  <si>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</si>
  <si>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</si>
  <si>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</si>
  <si>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</si>
  <si>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</si>
  <si>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</si>
  <si>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</si>
  <si>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</si>
  <si>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</si>
  <si>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</si>
  <si>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</si>
  <si>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</si>
  <si>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</si>
  <si>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</si>
  <si>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</si>
  <si>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</si>
  <si>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</si>
  <si>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</si>
  <si>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</si>
  <si>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</si>
  <si>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</si>
  <si>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</si>
  <si>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</si>
  <si>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</si>
  <si>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</si>
  <si>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</si>
  <si>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</si>
  <si>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</si>
  <si>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</si>
  <si>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</si>
  <si>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</si>
  <si>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</si>
  <si>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</si>
  <si>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</si>
  <si>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</si>
  <si>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</si>
  <si>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</si>
  <si>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</si>
  <si>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</si>
  <si>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</si>
  <si>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</si>
  <si>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</si>
  <si>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</si>
  <si>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</si>
  <si>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</si>
  <si>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</si>
  <si>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</si>
  <si>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</si>
  <si>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</si>
  <si>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</si>
  <si>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</si>
  <si>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</si>
  <si>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</si>
  <si>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</si>
  <si>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</si>
  <si>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</si>
  <si>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</si>
  <si>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</si>
  <si>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</si>
  <si>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</si>
  <si>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</si>
  <si>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</si>
  <si>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</si>
  <si>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</si>
  <si>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</si>
  <si>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</si>
  <si>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</si>
  <si>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</si>
  <si>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</si>
  <si>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</si>
  <si>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</si>
  <si>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</si>
  <si>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</si>
  <si>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</si>
  <si>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</si>
  <si>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</si>
  <si>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</si>
  <si>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</si>
  <si>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</si>
  <si>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</si>
  <si>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</si>
  <si>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</si>
  <si>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</si>
  <si>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</si>
  <si>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</si>
  <si>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</si>
  <si>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</si>
  <si>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</si>
  <si>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</si>
  <si>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</si>
  <si>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</si>
  <si>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</si>
  <si>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</si>
  <si>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</si>
  <si>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</si>
  <si>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</si>
  <si>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</si>
  <si>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</si>
  <si>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</si>
  <si>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</si>
  <si>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</si>
  <si>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</si>
  <si>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</si>
  <si>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</si>
  <si>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</si>
  <si>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</si>
  <si>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</si>
  <si>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</si>
  <si>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</si>
  <si>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</si>
  <si>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</si>
  <si>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</si>
  <si>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</si>
  <si>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</si>
  <si>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</si>
  <si>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</si>
  <si>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</si>
  <si>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</si>
  <si>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</si>
  <si>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</si>
  <si>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</si>
  <si>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</si>
  <si>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</si>
  <si>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</si>
  <si>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</si>
  <si>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</si>
  <si>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</si>
  <si>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</si>
  <si>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</si>
  <si>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</si>
  <si>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</si>
  <si>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</si>
  <si>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</si>
  <si>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</si>
  <si>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</si>
  <si>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</si>
  <si>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</si>
  <si>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</si>
  <si>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</si>
  <si>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</si>
  <si>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</si>
  <si>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</si>
  <si>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</si>
  <si>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</si>
  <si>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</si>
  <si>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</si>
  <si>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</si>
  <si>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</si>
  <si>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</si>
  <si>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</si>
  <si>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</si>
  <si>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</si>
  <si>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</si>
  <si>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</si>
  <si>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</si>
  <si>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</si>
  <si>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</si>
  <si>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</si>
  <si>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</si>
  <si>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</si>
  <si>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</si>
  <si>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</si>
  <si>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</si>
  <si>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</si>
  <si>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</si>
  <si>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</si>
  <si>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</si>
  <si>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</si>
  <si>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</si>
  <si>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</si>
  <si>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</si>
  <si>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</si>
  <si>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</si>
  <si>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</si>
  <si>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</si>
  <si>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</si>
  <si>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</si>
  <si>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</si>
  <si>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</si>
  <si>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</si>
  <si>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</si>
  <si>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</si>
  <si>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</si>
  <si>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</si>
  <si>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</si>
  <si>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</si>
  <si>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</si>
  <si>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</si>
  <si>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</si>
  <si>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</si>
  <si>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</si>
  <si>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</si>
  <si>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</si>
  <si>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</si>
  <si>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</si>
  <si>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</si>
  <si>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</si>
  <si>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</si>
  <si>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</si>
  <si>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</si>
  <si>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</si>
  <si>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</si>
  <si>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</si>
  <si>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</si>
  <si>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</si>
  <si>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</si>
  <si>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</si>
  <si>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</si>
  <si>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</si>
  <si>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</si>
  <si>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</si>
  <si>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</si>
  <si>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</si>
  <si>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</si>
  <si>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</si>
  <si>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</si>
  <si>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</si>
  <si>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</si>
  <si>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</si>
  <si>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</si>
  <si>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</si>
  <si>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</si>
  <si>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</si>
  <si>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</si>
  <si>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</si>
  <si>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</si>
  <si>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</si>
  <si>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</si>
  <si>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</si>
  <si>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</si>
  <si>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</si>
  <si>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</si>
  <si>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</si>
  <si>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</si>
  <si>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</si>
  <si>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</si>
  <si>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</si>
  <si>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</si>
  <si>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</si>
  <si>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</si>
  <si>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</si>
  <si>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</si>
  <si>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</si>
  <si>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</si>
  <si>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</si>
  <si>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</si>
  <si>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</si>
  <si>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</si>
  <si>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</si>
  <si>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</si>
  <si>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</si>
  <si>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</si>
  <si>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</si>
  <si>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</si>
  <si>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</si>
  <si>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</si>
  <si>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</si>
  <si>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</si>
  <si>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</si>
  <si>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</si>
  <si>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</si>
  <si>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</si>
  <si>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</si>
  <si>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</si>
  <si>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</si>
  <si>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</si>
  <si>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</si>
  <si>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</si>
  <si>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</si>
  <si>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</si>
  <si>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</si>
  <si>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</si>
  <si>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</si>
  <si>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</si>
  <si>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</si>
  <si>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</si>
  <si>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</si>
  <si>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</si>
  <si>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</si>
  <si>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</si>
  <si>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</si>
  <si>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</si>
  <si>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</si>
  <si>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</si>
  <si>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</si>
  <si>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</si>
  <si>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</si>
  <si>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</si>
  <si>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</si>
  <si>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</si>
  <si>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</si>
  <si>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</si>
  <si>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</si>
  <si>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</si>
  <si>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</si>
  <si>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</si>
  <si>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</si>
  <si>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</si>
  <si>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</si>
  <si>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</si>
  <si>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</si>
  <si>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</si>
  <si>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</si>
  <si>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</si>
  <si>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</si>
  <si>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</si>
  <si>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</si>
  <si>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</si>
  <si>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</si>
  <si>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</si>
  <si>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</si>
  <si>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</si>
  <si>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</si>
  <si>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</si>
  <si>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</si>
  <si>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</si>
  <si>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</si>
  <si>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</si>
  <si>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</si>
  <si>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</si>
  <si>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</si>
  <si>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</si>
  <si>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</si>
  <si>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</si>
  <si>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</si>
  <si>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</si>
  <si>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</si>
  <si>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</si>
  <si>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</si>
  <si>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</si>
  <si>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</si>
  <si>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</si>
  <si>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</si>
  <si>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</si>
  <si>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</si>
  <si>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</si>
  <si>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</si>
  <si>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</si>
  <si>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</si>
  <si>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</si>
  <si>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</si>
  <si>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</si>
  <si>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</si>
  <si>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</si>
  <si>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</si>
  <si>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</si>
  <si>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</si>
  <si>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</si>
  <si>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</si>
  <si>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</si>
  <si>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</si>
  <si>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</si>
  <si>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</si>
  <si>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</si>
  <si>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</si>
  <si>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</si>
  <si>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</si>
  <si>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</si>
  <si>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</si>
  <si>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</si>
  <si>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</si>
  <si>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</si>
  <si>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</si>
  <si>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</si>
  <si>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</si>
  <si>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</si>
  <si>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</si>
  <si>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</si>
  <si>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</si>
  <si>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</si>
  <si>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</si>
  <si>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</si>
  <si>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</si>
  <si>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</si>
  <si>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</si>
  <si>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</si>
  <si>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</si>
  <si>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</si>
  <si>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</si>
  <si>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</si>
  <si>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</si>
  <si>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</si>
  <si>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</si>
  <si>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</si>
  <si>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</si>
  <si>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</si>
  <si>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</si>
  <si>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</si>
  <si>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</si>
  <si>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</si>
  <si>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</si>
  <si>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</si>
  <si>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</si>
  <si>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</si>
  <si>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</si>
  <si>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</si>
  <si>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</si>
  <si>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</si>
  <si>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</si>
  <si>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</si>
  <si>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</si>
  <si>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</si>
  <si>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</si>
  <si>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</si>
  <si>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</si>
  <si>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</si>
  <si>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</si>
  <si>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</si>
  <si>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</si>
  <si>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</si>
  <si>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</si>
  <si>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</si>
  <si>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</si>
  <si>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</si>
  <si>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</si>
  <si>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</si>
  <si>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</si>
  <si>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</si>
  <si>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</si>
  <si>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</si>
  <si>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</si>
  <si>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</si>
  <si>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</si>
  <si>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</si>
  <si>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</si>
  <si>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</si>
  <si>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</si>
  <si>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</si>
  <si>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</si>
  <si>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</si>
  <si>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</si>
  <si>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</si>
  <si>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</si>
  <si>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</si>
  <si>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</si>
  <si>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</si>
  <si>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</si>
  <si>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</si>
  <si>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</si>
  <si>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</si>
  <si>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</si>
  <si>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</si>
  <si>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</si>
  <si>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</si>
  <si>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</si>
  <si>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</si>
  <si>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</si>
  <si>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</si>
  <si>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</si>
  <si>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</si>
  <si>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</si>
  <si>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</si>
  <si>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</si>
  <si>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</si>
  <si>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</si>
  <si>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</si>
  <si>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</si>
  <si>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</si>
  <si>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</si>
  <si>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</si>
  <si>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</si>
  <si>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</si>
  <si>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</si>
  <si>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</si>
  <si>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</si>
  <si>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</si>
  <si>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</si>
  <si>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</si>
  <si>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</si>
  <si>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</si>
  <si>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</si>
  <si>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</si>
  <si>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</si>
  <si>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</si>
  <si>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</si>
  <si>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</si>
  <si>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</si>
  <si>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</si>
  <si>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</si>
  <si>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</si>
  <si>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</si>
  <si>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</si>
  <si>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</si>
  <si>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</si>
  <si>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</si>
  <si>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</si>
  <si>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</si>
  <si>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</si>
  <si>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</si>
  <si>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</si>
  <si>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</si>
  <si>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</si>
  <si>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</si>
  <si>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</si>
  <si>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</si>
  <si>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</si>
  <si>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</si>
  <si>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</si>
  <si>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</si>
  <si>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</si>
  <si>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</si>
  <si>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</si>
  <si>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</si>
  <si>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</si>
  <si>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</si>
  <si>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</si>
  <si>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</si>
  <si>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</si>
  <si>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</si>
  <si>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</si>
  <si>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</si>
  <si>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</si>
  <si>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</si>
  <si>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</si>
  <si>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</si>
  <si>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</si>
  <si>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</si>
  <si>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</si>
  <si>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</si>
  <si>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</si>
  <si>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</si>
  <si>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</si>
  <si>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</si>
  <si>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</si>
  <si>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</si>
  <si>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</si>
  <si>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</si>
  <si>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</si>
  <si>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</si>
  <si>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</si>
  <si>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</si>
  <si>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</si>
  <si>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</si>
  <si>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</si>
  <si>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</si>
  <si>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</si>
  <si>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</si>
  <si>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</si>
  <si>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</si>
  <si>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</si>
  <si>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</si>
  <si>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</si>
  <si>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</si>
  <si>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</si>
  <si>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</si>
  <si>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</si>
  <si>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</si>
  <si>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</si>
  <si>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</si>
  <si>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</si>
  <si>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</si>
  <si>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</si>
  <si>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</si>
  <si>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</si>
  <si>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</si>
  <si>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</si>
  <si>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</si>
  <si>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</si>
  <si>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</si>
  <si>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</si>
  <si>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</si>
  <si>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</si>
  <si>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</si>
  <si>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</si>
  <si>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</si>
  <si>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</si>
  <si>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</si>
  <si>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</si>
  <si>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</si>
  <si>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</si>
  <si>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</si>
  <si>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</si>
  <si>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</si>
  <si>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</si>
  <si>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</si>
  <si>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</si>
  <si>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</si>
  <si>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</si>
  <si>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</si>
  <si>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</si>
  <si>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</si>
  <si>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</si>
  <si>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</si>
  <si>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</si>
  <si>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</si>
  <si>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</si>
  <si>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</si>
  <si>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</si>
  <si>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</si>
  <si>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</si>
  <si>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</si>
  <si>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</si>
  <si>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</si>
  <si>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</si>
  <si>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</si>
  <si>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</si>
  <si>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</si>
  <si>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</si>
  <si>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</si>
  <si>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</si>
  <si>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</si>
  <si>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</si>
  <si>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</si>
  <si>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</si>
  <si>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</si>
  <si>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</si>
  <si>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</si>
  <si>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</si>
  <si>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</si>
  <si>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</si>
  <si>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</si>
  <si>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</si>
  <si>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</si>
  <si>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</si>
  <si>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</si>
  <si>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</si>
  <si>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</si>
  <si>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</si>
  <si>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</si>
  <si>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</si>
  <si>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</si>
  <si>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</si>
  <si>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</si>
  <si>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</si>
  <si>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</si>
  <si>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</si>
  <si>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</si>
  <si>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</si>
  <si>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</si>
  <si>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</si>
  <si>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</si>
  <si>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</si>
  <si>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</si>
  <si>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</si>
  <si>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</si>
  <si>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</si>
  <si>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</si>
  <si>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</si>
  <si>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</si>
  <si>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</si>
  <si>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</si>
  <si>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</si>
  <si>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</si>
  <si>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</si>
  <si>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</si>
  <si>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</si>
  <si>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</si>
  <si>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</si>
  <si>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</si>
  <si>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</si>
  <si>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</si>
  <si>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</si>
  <si>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</si>
  <si>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</si>
  <si>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</si>
  <si>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</si>
  <si>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</si>
  <si>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</si>
  <si>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</si>
  <si>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</si>
  <si>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</si>
  <si>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</si>
  <si>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</si>
  <si>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</si>
  <si>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</si>
  <si>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</si>
  <si>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</si>
  <si>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</si>
  <si>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</si>
  <si>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</si>
  <si>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</si>
  <si>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</si>
  <si>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</si>
  <si>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</si>
  <si>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</si>
  <si>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</si>
  <si>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</si>
  <si>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</si>
  <si>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</si>
  <si>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</si>
  <si>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</si>
  <si>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</si>
  <si>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</si>
  <si>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</si>
  <si>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</si>
  <si>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</si>
  <si>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</si>
  <si>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</si>
  <si>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</si>
  <si>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</si>
  <si>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</si>
  <si>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</si>
  <si>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</si>
  <si>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</si>
  <si>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</si>
  <si>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</si>
  <si>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</si>
  <si>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</si>
  <si>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</si>
  <si>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</si>
  <si>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</si>
  <si>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</si>
  <si>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</si>
  <si>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</si>
  <si>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</si>
  <si>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</si>
  <si>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</si>
  <si>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</si>
  <si>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</si>
  <si>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</si>
  <si>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</si>
  <si>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</si>
  <si>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</si>
  <si>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</si>
  <si>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</si>
  <si>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</si>
  <si>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</si>
  <si>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</si>
  <si>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</si>
  <si>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</si>
  <si>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</si>
  <si>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</si>
  <si>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</si>
  <si>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</si>
  <si>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</si>
  <si>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</si>
  <si>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</si>
  <si>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</si>
  <si>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</si>
  <si>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</si>
  <si>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</si>
  <si>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</si>
  <si>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</si>
  <si>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</si>
  <si>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</si>
  <si>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</si>
  <si>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</si>
  <si>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</si>
  <si>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</si>
  <si>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</si>
  <si>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</si>
  <si>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</si>
  <si>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</si>
  <si>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</si>
  <si>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</si>
  <si>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</si>
  <si>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</si>
  <si>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</si>
  <si>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</si>
  <si>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</si>
  <si>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</si>
  <si>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</si>
  <si>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</si>
  <si>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</si>
  <si>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</si>
  <si>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</si>
  <si>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</si>
  <si>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</si>
  <si>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</si>
  <si>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</si>
  <si>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</si>
  <si>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</si>
  <si>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</si>
  <si>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</si>
  <si>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</si>
  <si>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</si>
  <si>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</si>
  <si>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</si>
  <si>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</si>
  <si>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</si>
  <si>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</si>
  <si>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</si>
  <si>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</si>
  <si>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</si>
  <si>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</si>
  <si>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</si>
  <si>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</si>
  <si>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</si>
  <si>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</si>
  <si>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</si>
  <si>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</si>
  <si>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</si>
  <si>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</si>
  <si>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</si>
  <si>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</si>
  <si>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</si>
  <si>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</si>
  <si>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</si>
  <si>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</si>
  <si>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</si>
  <si>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</si>
  <si>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</si>
  <si>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</si>
  <si>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</si>
  <si>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</si>
  <si>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</si>
  <si>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</si>
  <si>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</si>
  <si>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</si>
  <si>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</si>
  <si>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</si>
  <si>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</si>
  <si>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</si>
  <si>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</si>
  <si>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</si>
  <si>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</si>
  <si>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</si>
  <si>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</si>
  <si>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</si>
  <si>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</si>
  <si>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</si>
  <si>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</si>
  <si>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</si>
  <si>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</si>
  <si>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</si>
  <si>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</si>
  <si>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</si>
  <si>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</si>
  <si>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</si>
  <si>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</si>
  <si>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</si>
  <si>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</si>
  <si>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</si>
  <si>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</si>
  <si>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</si>
  <si>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</si>
  <si>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</si>
  <si>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</si>
  <si>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</si>
  <si>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</si>
  <si>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</si>
  <si>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</si>
  <si>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</si>
  <si>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</si>
  <si>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</si>
  <si>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</si>
  <si>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</si>
  <si>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</si>
  <si>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</si>
  <si>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CANARIAS</t>
  </si>
  <si>
    <t>Provincias</t>
  </si>
  <si>
    <t>LAS PALMAS</t>
  </si>
  <si>
    <t>Resumenes por Partidos Judiciales</t>
  </si>
  <si>
    <t>ARRECIFE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</si>
</sst>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r/r0a5aDXoob00KftsjsKd0rTrDNpCamHMiCTPgARPgiZsHjtPZIWzkKMTM5fPttQ2dIWLQOr4J09AvayqtDw==" saltValue="gfFdRLKsgmfudGp7bNby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5.6412924823520854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127</v>
      </c>
      <c r="F10" s="226">
        <f>IF(ISNUMBER(Datos!K10),Datos!K10," - ")</f>
        <v>113</v>
      </c>
      <c r="G10" s="1034" t="str">
        <f>IF(Datos!E10&lt;&gt;"",Datos!E10,Datos!D10)</f>
        <v>37</v>
      </c>
      <c r="H10" s="227">
        <f>IF(ISNUMBER(Datos!L10),Datos!L10," - ")</f>
        <v>19</v>
      </c>
      <c r="I10" s="1044" t="str">
        <f>IF(ISNUMBER(Datos!AS10/Datos!BM10),Datos!AS10/Datos!BM10," - ")</f>
        <v xml:space="preserve"> - </v>
      </c>
      <c r="J10" s="1045">
        <f>IF(ISNUMBER(Datos!BY10/Datos!CN10),Datos!BY10/Datos!CN10," - ")</f>
        <v>0</v>
      </c>
      <c r="K10" s="230">
        <f t="shared" ref="K10:K12" si="1">IF(ISNUMBER((E10-F10)/C10),(E10-F10)/C10," - ")</f>
        <v>2.8</v>
      </c>
      <c r="L10" s="1025">
        <f>IF(ISNUMBER(NºAsuntos!I10/NºAsuntos!G10),(NºAsuntos!I10/NºAsuntos!G10)*11," - ")</f>
        <v>1.849557522123894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0</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127</v>
      </c>
      <c r="F13" s="1051">
        <f>SUBTOTAL(9,F9:F12)</f>
        <v>113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1909</v>
      </c>
      <c r="D15" s="225">
        <f>IF(ISNUMBER(IF(D_I="SI",Datos!I15,Datos!I15+Datos!AC15)),IF(D_I="SI",Datos!I15,Datos!I15+Datos!AC15)," - ")</f>
        <v>1890</v>
      </c>
      <c r="E15" s="226">
        <f>IF(ISNUMBER(IF(D_I="SI",Datos!J15,Datos!J15+Datos!AD15)),IF(D_I="SI",Datos!J15,Datos!J15+Datos!AD15)," - ")</f>
        <v>15322</v>
      </c>
      <c r="F15" s="226">
        <f>IF(ISNUMBER(IF(D_I="SI",Datos!K15,Datos!K15+Datos!AE15)),IF(D_I="SI",Datos!K15,Datos!K15+Datos!AE15)," - ")</f>
        <v>15028</v>
      </c>
      <c r="G15" s="1034" t="str">
        <f>IF(Datos!E15&lt;&gt;"",Datos!E15,Datos!D15)</f>
        <v>03</v>
      </c>
      <c r="H15" s="227">
        <f>IF(ISNUMBER(IF(D_I="SI",Datos!L15,Datos!L15+Datos!AF15)),IF(D_I="SI",Datos!L15,Datos!L15+Datos!AF15)," - ")</f>
        <v>2203</v>
      </c>
      <c r="I15" s="1044" t="str">
        <f>IF(ISNUMBER(Datos!AS15/Datos!BM15),Datos!AS15/Datos!BM15," - ")</f>
        <v xml:space="preserve"> - </v>
      </c>
      <c r="J15" s="1045">
        <f>IF(ISNUMBER(Datos!BY15/Datos!CN15),Datos!BY15/Datos!CN15," - ")</f>
        <v>0</v>
      </c>
      <c r="K15" s="230">
        <f t="shared" ref="K15:K17" si="3">IF(ISNUMBER((E15-F15)/C15),(E15-F15)/C15," - ")</f>
        <v>0.15400733368255631</v>
      </c>
      <c r="L15" s="1025">
        <f>IF(ISNUMBER(NºAsuntos!I15/NºAsuntos!G15),(NºAsuntos!I15/NºAsuntos!G15)*11," - ")</f>
        <v>1.6125232898589299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0</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97</v>
      </c>
      <c r="D17" s="225">
        <f>IF(ISNUMBER(IF(D_I="SI",Datos!I17,Datos!I17+Datos!AC17)),IF(D_I="SI",Datos!I17,Datos!I17+Datos!AC17)," - ")</f>
        <v>93</v>
      </c>
      <c r="E17" s="226">
        <f>IF(ISNUMBER(IF(D_I="SI",Datos!J17,Datos!J17+Datos!AD17)),IF(D_I="SI",Datos!J17,Datos!J17+Datos!AD17)," - ")</f>
        <v>731</v>
      </c>
      <c r="F17" s="226">
        <f>IF(ISNUMBER(IF(D_I="SI",Datos!K17,Datos!K17+Datos!AE17)),IF(D_I="SI",Datos!K17,Datos!K17+Datos!AE17)," - ")</f>
        <v>737</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-6.1855670103092786E-2</v>
      </c>
      <c r="L17" s="1025">
        <f>IF(ISNUMBER(NºAsuntos!I17/NºAsuntos!G17),(NºAsuntos!I17/NºAsuntos!G17)*11," - ")</f>
        <v>1.3582089552238805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2006</v>
      </c>
      <c r="D18" s="1049">
        <f>SUBTOTAL(9,D15:D17)</f>
        <v>1983</v>
      </c>
      <c r="E18" s="1050">
        <f>SUBTOTAL(9,E15:E17)</f>
        <v>16053</v>
      </c>
      <c r="F18" s="1050">
        <f>SUBTOTAL(9,F15:F17)</f>
        <v>15765</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2011</v>
      </c>
      <c r="D19" s="1071">
        <f>SUBTOTAL(9,D9:D18)</f>
        <v>1988</v>
      </c>
      <c r="E19" s="1072">
        <f>SUBTOTAL(9,E9:E18)</f>
        <v>16180</v>
      </c>
      <c r="F19" s="1072">
        <f>SUBTOTAL(9,F9:F18)</f>
        <v>15878</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QNilTi9Xn186xVgknTPwiNTxZ+rYHz4KjyYpBzgxtnQQCzxBiTSNmReyWTqA4GCK20UXlwmFk/HckFhu/9W31g==" saltValue="b0Q8JrT2fjjpO3tDaonW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mOedXI1OBtb9WhHRf1xV462tmn1GKgzDpnHYd1xGt04WI+I0Z4wvTCoM5c9mBhpRMSaneCrzSwPq6rb5fC9A==" saltValue="/CVSXcZAX9hX1SmcUIkHm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6106</v>
      </c>
      <c r="J9" s="181">
        <v>14005</v>
      </c>
      <c r="K9" s="181">
        <v>13230</v>
      </c>
      <c r="L9" s="181">
        <v>6881</v>
      </c>
      <c r="M9" s="181">
        <v>3049</v>
      </c>
      <c r="N9" s="181">
        <v>8290</v>
      </c>
      <c r="O9" s="181">
        <v>3245</v>
      </c>
      <c r="P9" s="181">
        <v>1950</v>
      </c>
      <c r="Q9" s="181">
        <v>1443</v>
      </c>
      <c r="R9" s="181">
        <v>7528</v>
      </c>
      <c r="S9" s="181">
        <v>5083</v>
      </c>
      <c r="T9" s="181">
        <v>11144</v>
      </c>
      <c r="U9" s="181">
        <v>10103</v>
      </c>
      <c r="V9" s="181">
        <v>6106</v>
      </c>
      <c r="W9" s="181">
        <v>1787</v>
      </c>
      <c r="X9" s="188">
        <v>6415</v>
      </c>
      <c r="Y9" s="191">
        <v>213</v>
      </c>
      <c r="Z9" s="181">
        <v>455</v>
      </c>
      <c r="AA9" s="181">
        <v>511</v>
      </c>
      <c r="AB9" s="181">
        <v>166</v>
      </c>
      <c r="AC9" s="181">
        <v>0</v>
      </c>
      <c r="AD9" s="181">
        <v>0</v>
      </c>
      <c r="AE9" s="181">
        <v>0</v>
      </c>
      <c r="AF9" s="188">
        <v>0</v>
      </c>
      <c r="AG9" s="191">
        <v>179</v>
      </c>
      <c r="AH9" s="181">
        <v>511</v>
      </c>
      <c r="AI9" s="181">
        <v>479</v>
      </c>
      <c r="AJ9" s="192">
        <v>213</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5262</v>
      </c>
      <c r="AZ9" s="123">
        <f>IF(ISNUMBER(IF(J_V="SI",T9,T9+AH9)),IF(J_V="SI",T9,T9+AH9)," - ")</f>
        <v>11655</v>
      </c>
      <c r="BA9" s="124">
        <f>IF(ISNUMBER(IF(J_V="SI",U9,U9+AI9)),IF(J_V="SI",U9,U9+AI9)," - ")</f>
        <v>10582</v>
      </c>
      <c r="BB9" s="124">
        <f>IF(ISNUMBER(IF(J_V="SI",V9,V9+AJ9)),IF(J_V="SI",V9,V9+AJ9)," - ")</f>
        <v>6319</v>
      </c>
      <c r="BC9" s="125">
        <f>IF(ISNUMBER(X9),X9," - ")</f>
        <v>6415</v>
      </c>
      <c r="BD9" s="126">
        <f>IF(ISNUMBER(BA9/AZ9),BA9/AZ9," - ")</f>
        <v>0.90793650793650793</v>
      </c>
      <c r="BE9" s="127">
        <f>IF(ISNUMBER(BB9/BA9),BB9/BA9, " - ")</f>
        <v>0.59714609714609712</v>
      </c>
      <c r="BF9" s="127">
        <f>IF(ISNUMBER(BC9/BA9),BC9/BA9, " - ")</f>
        <v>0.60621810621810623</v>
      </c>
      <c r="BG9" s="196">
        <f>IF(ISNUMBER((AY9+AZ9)/BA9),(AY9+AZ9)/BA9," - ")</f>
        <v>1.5986580986580987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127</v>
      </c>
      <c r="K10" s="181">
        <v>113</v>
      </c>
      <c r="L10" s="181">
        <v>19</v>
      </c>
      <c r="M10" s="181">
        <v>54</v>
      </c>
      <c r="N10" s="181">
        <v>43</v>
      </c>
      <c r="O10" s="181">
        <v>8</v>
      </c>
      <c r="P10" s="181">
        <v>11</v>
      </c>
      <c r="Q10" s="181">
        <v>7</v>
      </c>
      <c r="R10" s="181">
        <v>34</v>
      </c>
      <c r="S10" s="181">
        <v>11</v>
      </c>
      <c r="T10" s="181">
        <v>98</v>
      </c>
      <c r="U10" s="181">
        <v>104</v>
      </c>
      <c r="V10" s="181">
        <v>5</v>
      </c>
      <c r="W10" s="181">
        <v>40</v>
      </c>
      <c r="X10" s="188">
        <v>57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11</v>
      </c>
      <c r="AZ10" s="129">
        <f t="shared" si="0"/>
        <v>98</v>
      </c>
      <c r="BA10" s="129">
        <f t="shared" si="0"/>
        <v>104</v>
      </c>
      <c r="BB10" s="129">
        <f t="shared" si="0"/>
        <v>5</v>
      </c>
      <c r="BC10" s="125">
        <f t="shared" si="0"/>
        <v>40</v>
      </c>
      <c r="BD10" s="126">
        <f>IF(ISNUMBER(BA10/AZ10),BA10/AZ10," - ")</f>
        <v>1.0612244897959184</v>
      </c>
      <c r="BE10" s="127">
        <f>IF(ISNUMBER(BB10/BA10),BB10/BA10, " - ")</f>
        <v>4.807692307692308E-2</v>
      </c>
      <c r="BF10" s="127">
        <f>IF(ISNUMBER(BC10/BA10),BC10/BA10, " - ")</f>
        <v>0.38461538461538464</v>
      </c>
      <c r="BG10" s="196">
        <f>IF(ISNUMBER((AY10+AZ10)/BA10),(AY10+AZ10)/BA10," - ")</f>
        <v>1.0480769230769231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1</v>
      </c>
      <c r="K12" s="183">
        <v>1</v>
      </c>
      <c r="L12" s="183">
        <v>0</v>
      </c>
      <c r="M12" s="183">
        <v>0</v>
      </c>
      <c r="N12" s="183">
        <v>3</v>
      </c>
      <c r="O12" s="181">
        <v>232</v>
      </c>
      <c r="P12" s="183">
        <v>16</v>
      </c>
      <c r="Q12" s="183">
        <v>382</v>
      </c>
      <c r="R12" s="183">
        <v>76</v>
      </c>
      <c r="S12" s="183">
        <v>1</v>
      </c>
      <c r="T12" s="183">
        <v>0</v>
      </c>
      <c r="U12" s="183">
        <v>1</v>
      </c>
      <c r="V12" s="183">
        <v>0</v>
      </c>
      <c r="W12" s="183">
        <v>0</v>
      </c>
      <c r="X12" s="189">
        <v>6</v>
      </c>
      <c r="Y12" s="191">
        <v>0</v>
      </c>
      <c r="Z12" s="181">
        <v>2</v>
      </c>
      <c r="AA12" s="181">
        <v>2</v>
      </c>
      <c r="AB12" s="181">
        <v>0</v>
      </c>
      <c r="AC12" s="183">
        <v>0</v>
      </c>
      <c r="AD12" s="183">
        <v>0</v>
      </c>
      <c r="AE12" s="183">
        <v>0</v>
      </c>
      <c r="AF12" s="189">
        <v>0</v>
      </c>
      <c r="AG12" s="202">
        <v>0</v>
      </c>
      <c r="AH12" s="183">
        <v>5</v>
      </c>
      <c r="AI12" s="183">
        <v>5</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1</v>
      </c>
      <c r="AZ12" s="127">
        <f t="shared" si="1"/>
        <v>5</v>
      </c>
      <c r="BA12" s="127">
        <f t="shared" si="1"/>
        <v>6</v>
      </c>
      <c r="BB12" s="127">
        <f t="shared" si="1"/>
        <v>0</v>
      </c>
      <c r="BC12" s="125">
        <f>IF(ISNUMBER(X12),X12," - ")</f>
        <v>6</v>
      </c>
      <c r="BD12" s="126">
        <f t="shared" si="2"/>
        <v>1.2</v>
      </c>
      <c r="BE12" s="127">
        <f t="shared" si="3"/>
        <v>0</v>
      </c>
      <c r="BF12" s="127">
        <f t="shared" si="4"/>
        <v>1</v>
      </c>
      <c r="BG12" s="196">
        <f t="shared" si="5"/>
        <v>1</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6111</v>
      </c>
      <c r="J13" s="184">
        <f t="shared" si="6"/>
        <v>14133</v>
      </c>
      <c r="K13" s="184">
        <f t="shared" si="6"/>
        <v>13344</v>
      </c>
      <c r="L13" s="184">
        <f t="shared" si="6"/>
        <v>6900</v>
      </c>
      <c r="M13" s="184">
        <f t="shared" si="6"/>
        <v>3103</v>
      </c>
      <c r="N13" s="184">
        <f t="shared" si="6"/>
        <v>8336</v>
      </c>
      <c r="O13" s="184">
        <f t="shared" si="6"/>
        <v>3485</v>
      </c>
      <c r="P13" s="184">
        <f t="shared" si="6"/>
        <v>1977</v>
      </c>
      <c r="Q13" s="184">
        <f t="shared" si="6"/>
        <v>1832</v>
      </c>
      <c r="R13" s="184">
        <f t="shared" si="6"/>
        <v>7638</v>
      </c>
      <c r="S13" s="184">
        <f t="shared" si="6"/>
        <v>5095</v>
      </c>
      <c r="T13" s="184">
        <f t="shared" si="6"/>
        <v>11242</v>
      </c>
      <c r="U13" s="184">
        <f t="shared" si="6"/>
        <v>10208</v>
      </c>
      <c r="V13" s="184">
        <f t="shared" si="6"/>
        <v>6111</v>
      </c>
      <c r="W13" s="184">
        <f t="shared" si="6"/>
        <v>1827</v>
      </c>
      <c r="X13" s="184">
        <f t="shared" si="6"/>
        <v>6478</v>
      </c>
      <c r="Y13" s="184">
        <f t="shared" si="6"/>
        <v>213</v>
      </c>
      <c r="Z13" s="184">
        <f t="shared" si="6"/>
        <v>457</v>
      </c>
      <c r="AA13" s="184">
        <f t="shared" si="6"/>
        <v>513</v>
      </c>
      <c r="AB13" s="184">
        <f t="shared" si="6"/>
        <v>166</v>
      </c>
      <c r="AC13" s="184">
        <f t="shared" si="6"/>
        <v>0</v>
      </c>
      <c r="AD13" s="184">
        <f t="shared" si="6"/>
        <v>0</v>
      </c>
      <c r="AE13" s="184">
        <f t="shared" si="6"/>
        <v>0</v>
      </c>
      <c r="AF13" s="184">
        <f>SUBTOTAL(9,AF9:AF12)</f>
        <v>0</v>
      </c>
      <c r="AG13" s="184">
        <f t="shared" ref="AG13:AT13" si="7">SUBTOTAL(9,AG8:AG12)</f>
        <v>179</v>
      </c>
      <c r="AH13" s="184">
        <f t="shared" si="7"/>
        <v>516</v>
      </c>
      <c r="AI13" s="184">
        <f t="shared" si="7"/>
        <v>484</v>
      </c>
      <c r="AJ13" s="184">
        <f t="shared" si="7"/>
        <v>213</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5274</v>
      </c>
      <c r="AZ13" s="184">
        <f>SUBTOTAL(9,AZ8:AZ12)</f>
        <v>11758</v>
      </c>
      <c r="BA13" s="184">
        <f>SUBTOTAL(9,BA8:BA12)</f>
        <v>10692</v>
      </c>
      <c r="BB13" s="184">
        <f>SUBTOTAL(9,BB8:BB12)</f>
        <v>6324</v>
      </c>
      <c r="BC13" s="184">
        <f>SUBTOTAL(9,BC8:BC12)</f>
        <v>6461</v>
      </c>
      <c r="BD13" s="205">
        <f>IF(ISNUMBER(BA13/AZ13),BA13/AZ13," - ")</f>
        <v>0.90933832284402105</v>
      </c>
      <c r="BE13" s="206">
        <f>IF(ISNUMBER(BB13/BA13),BB13/BA13, " - ")</f>
        <v>0.59147025813692478</v>
      </c>
      <c r="BF13" s="206">
        <f>IF(ISNUMBER(BC13/BA13),BC13/BA13, " - ")</f>
        <v>0.60428357650579878</v>
      </c>
      <c r="BG13" s="207">
        <f>IF(ISNUMBER((AY13+AZ13)/BA13),(AY13+AZ13)/BA13," - ")</f>
        <v>1.5929667040778153</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1890</v>
      </c>
      <c r="J15" s="183">
        <v>15322</v>
      </c>
      <c r="K15" s="183">
        <v>15028</v>
      </c>
      <c r="L15" s="183">
        <v>2203</v>
      </c>
      <c r="M15" s="183">
        <v>1850</v>
      </c>
      <c r="N15" s="183">
        <v>10390</v>
      </c>
      <c r="O15" s="181">
        <v>224</v>
      </c>
      <c r="P15" s="183">
        <v>338</v>
      </c>
      <c r="Q15" s="183">
        <v>341</v>
      </c>
      <c r="R15" s="183">
        <v>384</v>
      </c>
      <c r="S15" s="183">
        <v>1531</v>
      </c>
      <c r="T15" s="183">
        <v>14033</v>
      </c>
      <c r="U15" s="183">
        <v>13780</v>
      </c>
      <c r="V15" s="183">
        <v>1890</v>
      </c>
      <c r="W15" s="183">
        <v>1570</v>
      </c>
      <c r="X15" s="189">
        <v>9799</v>
      </c>
      <c r="Y15" s="202">
        <v>0</v>
      </c>
      <c r="Z15" s="183">
        <v>0</v>
      </c>
      <c r="AA15" s="183">
        <v>0</v>
      </c>
      <c r="AB15" s="183">
        <v>0</v>
      </c>
      <c r="AC15" s="183">
        <v>0</v>
      </c>
      <c r="AD15" s="183">
        <v>169</v>
      </c>
      <c r="AE15" s="183">
        <v>169</v>
      </c>
      <c r="AF15" s="189">
        <v>0</v>
      </c>
      <c r="AG15" s="202">
        <v>0</v>
      </c>
      <c r="AH15" s="183">
        <v>0</v>
      </c>
      <c r="AI15" s="183">
        <v>0</v>
      </c>
      <c r="AJ15" s="203">
        <v>0</v>
      </c>
      <c r="AK15" s="182">
        <v>0</v>
      </c>
      <c r="AL15" s="183">
        <v>434</v>
      </c>
      <c r="AM15" s="183">
        <v>434</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1531</v>
      </c>
      <c r="AZ15" s="129">
        <f t="shared" si="9"/>
        <v>14033</v>
      </c>
      <c r="BA15" s="129">
        <f t="shared" si="9"/>
        <v>13780</v>
      </c>
      <c r="BB15" s="129">
        <f t="shared" si="9"/>
        <v>1890</v>
      </c>
      <c r="BC15" s="125">
        <f>IF(ISNUMBER(W15),W15," - ")</f>
        <v>1570</v>
      </c>
      <c r="BD15" s="126">
        <f>IF(ISNUMBER(BA15/AZ15),BA15/AZ15," - ")</f>
        <v>0.98197106819639424</v>
      </c>
      <c r="BE15" s="127">
        <f>IF(ISNUMBER(BB15/BA15),BB15/BA15, " - ")</f>
        <v>0.13715529753265601</v>
      </c>
      <c r="BF15" s="127">
        <f>IF(ISNUMBER(BC15/BA15),BC15/BA15, " - ")</f>
        <v>0.11393323657474601</v>
      </c>
      <c r="BG15" s="196">
        <f t="shared" ref="BG15:BG16" si="10">IF(ISNUMBER((AY15+AZ15)/BA15),(AY15+AZ15)/BA15," - ")</f>
        <v>1.1294629898403483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0</v>
      </c>
      <c r="J16" s="183">
        <v>0</v>
      </c>
      <c r="K16" s="183">
        <v>0</v>
      </c>
      <c r="L16" s="183">
        <v>0</v>
      </c>
      <c r="M16" s="183">
        <v>0</v>
      </c>
      <c r="N16" s="183">
        <v>0</v>
      </c>
      <c r="O16" s="181">
        <v>0</v>
      </c>
      <c r="P16" s="183">
        <v>0</v>
      </c>
      <c r="Q16" s="183">
        <v>0</v>
      </c>
      <c r="R16" s="183">
        <v>1</v>
      </c>
      <c r="S16" s="183">
        <v>1</v>
      </c>
      <c r="T16" s="183">
        <v>0</v>
      </c>
      <c r="U16" s="183">
        <v>0</v>
      </c>
      <c r="V16" s="183">
        <v>0</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0</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93</v>
      </c>
      <c r="J17" s="183">
        <v>731</v>
      </c>
      <c r="K17" s="183">
        <v>737</v>
      </c>
      <c r="L17" s="183">
        <v>91</v>
      </c>
      <c r="M17" s="183">
        <v>240</v>
      </c>
      <c r="N17" s="183">
        <v>317</v>
      </c>
      <c r="O17" s="183">
        <v>22</v>
      </c>
      <c r="P17" s="183">
        <v>41</v>
      </c>
      <c r="Q17" s="183">
        <v>37</v>
      </c>
      <c r="R17" s="183">
        <v>29</v>
      </c>
      <c r="S17" s="183">
        <v>108</v>
      </c>
      <c r="T17" s="183">
        <v>627</v>
      </c>
      <c r="U17" s="183">
        <v>650</v>
      </c>
      <c r="V17" s="183">
        <v>93</v>
      </c>
      <c r="W17" s="183">
        <v>188</v>
      </c>
      <c r="X17" s="189">
        <v>332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108</v>
      </c>
      <c r="AZ17" s="129">
        <f t="shared" si="14"/>
        <v>627</v>
      </c>
      <c r="BA17" s="129">
        <f t="shared" si="14"/>
        <v>650</v>
      </c>
      <c r="BB17" s="129">
        <f t="shared" si="14"/>
        <v>93</v>
      </c>
      <c r="BC17" s="125">
        <f>IF(ISNUMBER(W17),W17," - ")</f>
        <v>188</v>
      </c>
      <c r="BD17" s="126">
        <f>IF(ISNUMBER(BA17/AZ17),BA17/AZ17," - ")</f>
        <v>1.036682615629984</v>
      </c>
      <c r="BE17" s="127">
        <f>IF(ISNUMBER(BB17/BA17),BB17/BA17, " - ")</f>
        <v>0.14307692307692307</v>
      </c>
      <c r="BF17" s="127">
        <f>IF(ISNUMBER(BC17/BA17),BC17/BA17, " - ")</f>
        <v>0.28923076923076924</v>
      </c>
      <c r="BG17" s="196">
        <f>IF(ISNUMBER((AY17+AZ17)/BA17),(AY17+AZ17)/BA17," - ")</f>
        <v>1.1307692307692307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1983</v>
      </c>
      <c r="J18" s="184">
        <f t="shared" si="15"/>
        <v>16053</v>
      </c>
      <c r="K18" s="184">
        <f t="shared" si="15"/>
        <v>15765</v>
      </c>
      <c r="L18" s="184">
        <f t="shared" si="15"/>
        <v>2294</v>
      </c>
      <c r="M18" s="184">
        <f t="shared" si="15"/>
        <v>2090</v>
      </c>
      <c r="N18" s="184">
        <f t="shared" si="15"/>
        <v>10707</v>
      </c>
      <c r="O18" s="184">
        <f t="shared" si="15"/>
        <v>246</v>
      </c>
      <c r="P18" s="184">
        <f t="shared" si="15"/>
        <v>379</v>
      </c>
      <c r="Q18" s="184">
        <f t="shared" si="15"/>
        <v>378</v>
      </c>
      <c r="R18" s="184">
        <f t="shared" si="15"/>
        <v>414</v>
      </c>
      <c r="S18" s="184">
        <f t="shared" si="15"/>
        <v>1640</v>
      </c>
      <c r="T18" s="184">
        <f t="shared" si="15"/>
        <v>14660</v>
      </c>
      <c r="U18" s="184">
        <f t="shared" si="15"/>
        <v>14430</v>
      </c>
      <c r="V18" s="184">
        <f t="shared" si="15"/>
        <v>1983</v>
      </c>
      <c r="W18" s="184">
        <f t="shared" si="15"/>
        <v>1758</v>
      </c>
      <c r="X18" s="184">
        <f t="shared" si="15"/>
        <v>10131</v>
      </c>
      <c r="Y18" s="184">
        <f t="shared" si="15"/>
        <v>0</v>
      </c>
      <c r="Z18" s="184">
        <f t="shared" si="15"/>
        <v>0</v>
      </c>
      <c r="AA18" s="184">
        <f t="shared" si="15"/>
        <v>0</v>
      </c>
      <c r="AB18" s="184">
        <f t="shared" si="15"/>
        <v>0</v>
      </c>
      <c r="AC18" s="184">
        <f t="shared" si="15"/>
        <v>0</v>
      </c>
      <c r="AD18" s="184">
        <f t="shared" si="15"/>
        <v>169</v>
      </c>
      <c r="AE18" s="184">
        <f t="shared" si="15"/>
        <v>169</v>
      </c>
      <c r="AF18" s="184">
        <f t="shared" si="15"/>
        <v>0</v>
      </c>
      <c r="AG18" s="184">
        <f t="shared" si="15"/>
        <v>0</v>
      </c>
      <c r="AH18" s="184">
        <f t="shared" si="15"/>
        <v>0</v>
      </c>
      <c r="AI18" s="184">
        <f t="shared" si="15"/>
        <v>0</v>
      </c>
      <c r="AJ18" s="184">
        <f t="shared" si="15"/>
        <v>0</v>
      </c>
      <c r="AK18" s="184">
        <f t="shared" si="15"/>
        <v>0</v>
      </c>
      <c r="AL18" s="184">
        <f t="shared" si="15"/>
        <v>434</v>
      </c>
      <c r="AM18" s="184">
        <f t="shared" si="15"/>
        <v>434</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1640</v>
      </c>
      <c r="AZ18" s="184">
        <f>SUBTOTAL(9,AZ14:AZ17)</f>
        <v>14660</v>
      </c>
      <c r="BA18" s="184">
        <f>SUBTOTAL(9,BA14:BA17)</f>
        <v>14430</v>
      </c>
      <c r="BB18" s="184">
        <f>SUBTOTAL(9,BB14:BB17)</f>
        <v>1983</v>
      </c>
      <c r="BC18" s="184">
        <f>SUBTOTAL(9,BC14:BC17)</f>
        <v>1758</v>
      </c>
      <c r="BD18" s="205">
        <f>IF(ISNUMBER(BA18/AZ18),BA18/AZ18," - ")</f>
        <v>0.98431105047748979</v>
      </c>
      <c r="BE18" s="206">
        <f>IF(ISNUMBER(BB18/BA18),BB18/BA18, " - ")</f>
        <v>0.13742203742203743</v>
      </c>
      <c r="BF18" s="206">
        <f>IF(ISNUMBER(BC18/BA18),BC18/BA18, " - ")</f>
        <v>0.12182952182952184</v>
      </c>
      <c r="BG18" s="207">
        <f>IF(ISNUMBER((AY18+AZ18)/BA18),(AY18+AZ18)/BA18," - ")</f>
        <v>1.1295911295911296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8094</v>
      </c>
      <c r="J19" s="134">
        <f t="shared" si="18"/>
        <v>30186</v>
      </c>
      <c r="K19" s="134">
        <f t="shared" si="18"/>
        <v>29109</v>
      </c>
      <c r="L19" s="134">
        <f t="shared" si="18"/>
        <v>9194</v>
      </c>
      <c r="M19" s="134">
        <f t="shared" si="18"/>
        <v>5193</v>
      </c>
      <c r="N19" s="134">
        <f t="shared" si="18"/>
        <v>19043</v>
      </c>
      <c r="O19" s="134">
        <f t="shared" si="18"/>
        <v>3731</v>
      </c>
      <c r="P19" s="134">
        <f t="shared" si="18"/>
        <v>2356</v>
      </c>
      <c r="Q19" s="134">
        <f t="shared" si="18"/>
        <v>2210</v>
      </c>
      <c r="R19" s="134">
        <f t="shared" si="18"/>
        <v>8052</v>
      </c>
      <c r="S19" s="134">
        <f t="shared" si="18"/>
        <v>6735</v>
      </c>
      <c r="T19" s="134">
        <f t="shared" si="18"/>
        <v>25902</v>
      </c>
      <c r="U19" s="134">
        <f t="shared" si="18"/>
        <v>24638</v>
      </c>
      <c r="V19" s="134">
        <f t="shared" si="18"/>
        <v>8094</v>
      </c>
      <c r="W19" s="134">
        <f t="shared" si="18"/>
        <v>3585</v>
      </c>
      <c r="X19" s="134">
        <f t="shared" si="18"/>
        <v>16609</v>
      </c>
      <c r="Y19" s="134">
        <f t="shared" si="18"/>
        <v>213</v>
      </c>
      <c r="Z19" s="134">
        <f t="shared" si="18"/>
        <v>457</v>
      </c>
      <c r="AA19" s="134">
        <f t="shared" si="18"/>
        <v>513</v>
      </c>
      <c r="AB19" s="134">
        <f t="shared" si="18"/>
        <v>166</v>
      </c>
      <c r="AC19" s="134">
        <f t="shared" si="18"/>
        <v>0</v>
      </c>
      <c r="AD19" s="134">
        <f t="shared" si="18"/>
        <v>169</v>
      </c>
      <c r="AE19" s="134">
        <f t="shared" si="18"/>
        <v>169</v>
      </c>
      <c r="AF19" s="134">
        <f t="shared" si="18"/>
        <v>0</v>
      </c>
      <c r="AG19" s="134">
        <f t="shared" si="18"/>
        <v>179</v>
      </c>
      <c r="AH19" s="134">
        <f t="shared" si="18"/>
        <v>516</v>
      </c>
      <c r="AI19" s="134">
        <f t="shared" si="18"/>
        <v>484</v>
      </c>
      <c r="AJ19" s="134">
        <f t="shared" si="18"/>
        <v>213</v>
      </c>
      <c r="AK19" s="134">
        <f t="shared" si="18"/>
        <v>0</v>
      </c>
      <c r="AL19" s="134">
        <f t="shared" si="18"/>
        <v>434</v>
      </c>
      <c r="AM19" s="134">
        <f t="shared" si="18"/>
        <v>434</v>
      </c>
      <c r="AN19" s="210">
        <f t="shared" si="18"/>
        <v>0</v>
      </c>
      <c r="AO19" s="211">
        <v>10</v>
      </c>
      <c r="AP19" s="211">
        <v>9</v>
      </c>
      <c r="AQ19" s="211">
        <v>9</v>
      </c>
      <c r="AR19" s="211">
        <v>9</v>
      </c>
      <c r="AS19" s="153">
        <f t="shared" si="18"/>
        <v>0</v>
      </c>
      <c r="AT19" s="153">
        <f t="shared" si="18"/>
        <v>0</v>
      </c>
      <c r="AU19" s="211"/>
      <c r="AV19" s="212"/>
      <c r="AW19" s="211"/>
      <c r="AX19" s="212"/>
      <c r="AY19" s="133">
        <f>SUBTOTAL(9,AY9:AY18)</f>
        <v>6914</v>
      </c>
      <c r="AZ19" s="134">
        <f>SUBTOTAL(9,AZ9:AZ18)</f>
        <v>26418</v>
      </c>
      <c r="BA19" s="134">
        <f>SUBTOTAL(9,BA9:BA18)</f>
        <v>25122</v>
      </c>
      <c r="BB19" s="134">
        <f>SUBTOTAL(9,BB9:BB18)</f>
        <v>8307</v>
      </c>
      <c r="BC19" s="135">
        <f>SUBTOTAL(9,BC9:BC18)</f>
        <v>8219</v>
      </c>
      <c r="BD19" s="213">
        <f>IF(ISNUMBER(BA19/AZ19),BA19/AZ19," - ")</f>
        <v>0.95094253917783333</v>
      </c>
      <c r="BE19" s="210">
        <f>IF(ISNUMBER(BB19/BA19),BB19/BA19, " - ")</f>
        <v>0.33066634822068308</v>
      </c>
      <c r="BF19" s="210">
        <f>IF(ISNUMBER(BC19/BA19),BC19/BA19, " - ")</f>
        <v>0.32716344240108269</v>
      </c>
      <c r="BG19" s="135">
        <f>IF(ISNUMBER((AY19+AZ19)/BA19),(AY19+AZ19)/BA19," - ")</f>
        <v>1.3268051906695326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1fur48GXCYCj7F5G/NtKS3JPDN0A+L5+iFvckv3vtK4Sq7Fmhuff56zNII8td3Nm3zyhFVrq7GcDD/wb84R2Q==" saltValue="NJn457bBDP9DyTEr25Ce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Axda06Yx56RLN4NhfWMV1u1M5ArfHLynuUB5df+5/534mzsY+J0sTOtzBhYyGtDnrVlrcBHFcilTTyhbsORg==" saltValue="KLJbSwbUP3VYhtLAjlcV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455</v>
      </c>
      <c r="O9" s="334"/>
      <c r="P9" s="334"/>
      <c r="Q9" s="226">
        <f>IF(ISNUMBER(Datos!P9),Datos!P9,0)</f>
        <v>1950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1443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166</v>
      </c>
      <c r="AI9" s="334" t="str">
        <f>IF(ISNUMBER(Datos!CD9),Datos!CD9,"-")</f>
        <v>-</v>
      </c>
      <c r="AJ9" s="334" t="str">
        <f>IF(ISNUMBER(Datos!EN9),Datos!EN9," - ")</f>
        <v xml:space="preserve"> - </v>
      </c>
      <c r="AK9" s="334"/>
      <c r="AL9" s="479"/>
      <c r="AM9" s="335">
        <f>IF(ISNUMBER(Datos!R9),Datos!R9," - ")</f>
        <v>7528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3049</v>
      </c>
      <c r="BD9" s="229">
        <f>IF(ISNUMBER(Datos!N9),Datos!N9," - ")</f>
        <v>8290</v>
      </c>
      <c r="BE9" s="229" t="str">
        <f>IF(ISNUMBER(Datos!BW9),Datos!BW9," - ")</f>
        <v xml:space="preserve"> - </v>
      </c>
      <c r="BF9" s="228" t="str">
        <f>IF(ISNUMBER(Datos!BX9),Datos!BX9," - ")</f>
        <v xml:space="preserve"> - </v>
      </c>
      <c r="BG9" s="243">
        <f>IF(ISNUMBER(IF(J_V="SI",Datos!K9/Datos!J9,(Datos!K9+Datos!AA9)/(Datos!J9+Datos!Z9))),IF(J_V="SI",Datos!K9/Datos!J9,(Datos!K9+Datos!AA9)/(Datos!J9+Datos!Z9))," - ")</f>
        <v>0.95027662517289069</v>
      </c>
      <c r="BH9" s="260">
        <f>IF(ISNUMBER(((IF(J_V="SI",Datos!L9/Datos!K9,(Datos!L9+Datos!AB9)/(Datos!K9+Datos!AA9)))*11)/factor_trimestre),((IF(J_V="SI",Datos!L9/Datos!K9,(Datos!L9+Datos!AB9)/(Datos!K9+Datos!AA9)))*11)/factor_trimestre," - ")</f>
        <v>5.6412924823520854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7.2211935621706316E-2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113</v>
      </c>
      <c r="AC10" s="226">
        <f>IF(ISNUMBER(Datos!Q10),Datos!Q10," - ")</f>
        <v>7</v>
      </c>
      <c r="AD10" s="334"/>
      <c r="AE10" s="484"/>
      <c r="AF10" s="332">
        <f>IF(ISNUMBER(Datos!L10),Datos!L10,"-")</f>
        <v>19</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54</v>
      </c>
      <c r="BD10" s="229">
        <f>IF(ISNUMBER(Datos!N10),Datos!N10," - ")</f>
        <v>43</v>
      </c>
      <c r="BE10" s="229" t="str">
        <f>IF(ISNUMBER(Datos!BW10),Datos!BW10," - ")</f>
        <v xml:space="preserve"> - </v>
      </c>
      <c r="BF10" s="228" t="str">
        <f>IF(ISNUMBER(Datos!BX10),Datos!BX10," - ")</f>
        <v xml:space="preserve"> - </v>
      </c>
      <c r="BG10" s="243">
        <f>IF(ISNUMBER(Datos!K10/Datos!J10),Datos!K10/Datos!J10," - ")</f>
        <v>0.88976377952755903</v>
      </c>
      <c r="BH10" s="260">
        <f>IF(ISNUMBER(((Datos!L10/Datos!K10)*11)/factor_trimestre),((Datos!L10/Datos!K10)*11)/factor_trimestre," - ")</f>
        <v>1.849557522123894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0.13333333333333333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0</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-0.82805429864253388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457</v>
      </c>
      <c r="O13" s="900">
        <f t="shared" si="0"/>
        <v>0</v>
      </c>
      <c r="P13" s="900">
        <f t="shared" si="0"/>
        <v>0</v>
      </c>
      <c r="Q13" s="899">
        <f t="shared" si="0"/>
        <v>1977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113</v>
      </c>
      <c r="AC13" s="899">
        <f t="shared" si="1"/>
        <v>1832</v>
      </c>
      <c r="AD13" s="899">
        <f t="shared" si="1"/>
        <v>0</v>
      </c>
      <c r="AE13" s="899">
        <f t="shared" si="1"/>
        <v>0</v>
      </c>
      <c r="AF13" s="899">
        <f t="shared" si="1"/>
        <v>19</v>
      </c>
      <c r="AG13" s="899">
        <f t="shared" si="1"/>
        <v>0</v>
      </c>
      <c r="AH13" s="899">
        <f t="shared" si="1"/>
        <v>166</v>
      </c>
      <c r="AI13" s="899">
        <f t="shared" si="1"/>
        <v>0</v>
      </c>
      <c r="AJ13" s="899">
        <f t="shared" si="1"/>
        <v>0</v>
      </c>
      <c r="AK13" s="899">
        <f t="shared" si="1"/>
        <v>0</v>
      </c>
      <c r="AL13" s="899">
        <f t="shared" si="1"/>
        <v>0</v>
      </c>
      <c r="AM13" s="899">
        <f t="shared" si="1"/>
        <v>7638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3103</v>
      </c>
      <c r="BD13" s="899">
        <f t="shared" si="1"/>
        <v>8336</v>
      </c>
      <c r="BE13" s="899">
        <f t="shared" si="1"/>
        <v>0</v>
      </c>
      <c r="BF13" s="899">
        <f t="shared" si="1"/>
        <v>0</v>
      </c>
      <c r="BG13" s="899">
        <f>IF(ISNUMBER(Datos!K13/Datos!J13),Datos!K13/Datos!J13," - ")</f>
        <v>0.9441732116323498</v>
      </c>
      <c r="BH13" s="903">
        <f>IF(ISNUMBER(((Datos!L13/Datos!K13)*11)/factor_trimestre),((Datos!L13/Datos!K13)*11)/factor_trimestre," - ")</f>
        <v>5.6879496402877701</v>
      </c>
      <c r="BI13" s="899">
        <f>IF(ISNUMBER('Resol  Asuntos'!D13/NºAsuntos!G13),'Resol  Asuntos'!D13/NºAsuntos!G13," - ")</f>
        <v>0.22393014360972793</v>
      </c>
      <c r="BJ13" s="899" t="str">
        <f>IF(ISNUMBER(Datos!CI13/Datos!CJ13),Datos!CI13/Datos!CJ13," - ")</f>
        <v xml:space="preserve"> - </v>
      </c>
      <c r="BK13" s="899">
        <f>SUBTOTAL(9,BK8:BK12)</f>
        <v>0</v>
      </c>
      <c r="BL13" s="899">
        <f>IF(ISNUMBER((I13-AB13+L13)/(F13)),(I13-AB13+L13)/(F13)," - ")</f>
        <v>-22.6</v>
      </c>
      <c r="BM13" s="904">
        <f>SUBTOTAL(9,BM9:BM12)</f>
        <v>-0.62250902968749422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1909</v>
      </c>
      <c r="G15" s="598">
        <f>IF(ISNUMBER(IF(D_I="SI",Datos!I15,Datos!I15+Datos!AC15)),IF(D_I="SI",Datos!I15,Datos!I15+Datos!AC15)," - ")</f>
        <v>1890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338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15028</v>
      </c>
      <c r="AC15" s="226">
        <f>IF(ISNUMBER(Datos!Q15),Datos!Q15," - ")</f>
        <v>341</v>
      </c>
      <c r="AD15" s="334"/>
      <c r="AE15" s="484"/>
      <c r="AF15" s="596">
        <f>IF(ISNUMBER(IF(D_I="SI",Datos!L15,Datos!L15+Datos!AF15)),IF(D_I="SI",Datos!L15,Datos!L15+Datos!AF15)," - ")</f>
        <v>2203</v>
      </c>
      <c r="AG15" s="334"/>
      <c r="AH15" s="334"/>
      <c r="AI15" s="334"/>
      <c r="AJ15" s="334"/>
      <c r="AK15" s="334"/>
      <c r="AL15" s="479"/>
      <c r="AM15" s="335">
        <f>IF(ISNUMBER(Datos!R15),Datos!R15," - ")</f>
        <v>384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1850</v>
      </c>
      <c r="BD15" s="229">
        <f>IF(ISNUMBER(Datos!N15),Datos!N15," - ")</f>
        <v>10390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0.98081190445111599</v>
      </c>
      <c r="BH15" s="260">
        <f>IF(ISNUMBER(((IF(D_I="SI",Datos!L15/Datos!K15,(Datos!L15+Datos!AF15)/(Datos!K15+Datos!AE15)))*11)/factor_trimestre),((IF(D_I="SI",Datos!L15/Datos!K15,(Datos!L15+Datos!AF15)/(Datos!K15+Datos!AE15)))*11)/factor_trimestre," - ")</f>
        <v>1.6125232898589299</v>
      </c>
      <c r="BI15" s="243">
        <f>IF(ISNUMBER('Resol  Asuntos'!D15/NºAsuntos!G15),'Resol  Asuntos'!D15/NºAsuntos!G15," - ")</f>
        <v>0.12310354005855736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737</v>
      </c>
      <c r="AC17" s="226">
        <f>IF(ISNUMBER(Datos!Q17),Datos!Q17," - ")</f>
        <v>37</v>
      </c>
      <c r="AD17" s="334"/>
      <c r="AE17" s="484"/>
      <c r="AF17" s="332">
        <f>IF(ISNUMBER(Datos!L17),Datos!L17,"-")</f>
        <v>91</v>
      </c>
      <c r="AG17" s="334"/>
      <c r="AH17" s="334"/>
      <c r="AI17" s="334"/>
      <c r="AJ17" s="334"/>
      <c r="AK17" s="334"/>
      <c r="AL17" s="479"/>
      <c r="AM17" s="335">
        <f>IF(ISNUMBER(Datos!R17),Datos!R17," - ")</f>
        <v>29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240</v>
      </c>
      <c r="BD17" s="229">
        <f>IF(ISNUMBER(Datos!N17),Datos!N17," - ")</f>
        <v>317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1.0082079343365253</v>
      </c>
      <c r="BH17" s="260">
        <f>IF(ISNUMBER(((IF(D_I="SI",Datos!L17/Datos!K17,(Datos!L17+Datos!AF17)/(Datos!K17+Datos!AE17)))*11)/factor_trimestre),((IF(D_I="SI",Datos!L17/Datos!K17,(Datos!L17+Datos!AF17)/(Datos!K17+Datos!AE17)))*11)/factor_trimestre," - ")</f>
        <v>1.3582089552238805</v>
      </c>
      <c r="BI17" s="243">
        <f>IF(ISNUMBER('Resol  Asuntos'!D17/NºAsuntos!G17),'Resol  Asuntos'!D17/NºAsuntos!G17," - ")</f>
        <v>0.32564450474898238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1909</v>
      </c>
      <c r="G18" s="898">
        <f>SUBTOTAL(9,G15:G17)</f>
        <v>1983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379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15765</v>
      </c>
      <c r="AC18" s="899">
        <f t="shared" si="4"/>
        <v>378</v>
      </c>
      <c r="AD18" s="899">
        <f t="shared" si="4"/>
        <v>0</v>
      </c>
      <c r="AE18" s="899">
        <f t="shared" si="4"/>
        <v>0</v>
      </c>
      <c r="AF18" s="899">
        <f t="shared" si="4"/>
        <v>2294</v>
      </c>
      <c r="AG18" s="899">
        <f t="shared" si="4"/>
        <v>0</v>
      </c>
      <c r="AH18" s="899">
        <f t="shared" si="4"/>
        <v>0</v>
      </c>
      <c r="AI18" s="899">
        <f t="shared" si="4"/>
        <v>0</v>
      </c>
      <c r="AJ18" s="899">
        <f t="shared" si="4"/>
        <v>0</v>
      </c>
      <c r="AK18" s="899">
        <f t="shared" si="4"/>
        <v>0</v>
      </c>
      <c r="AL18" s="899">
        <f t="shared" si="4"/>
        <v>0</v>
      </c>
      <c r="AM18" s="899">
        <f t="shared" si="4"/>
        <v>414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2090</v>
      </c>
      <c r="BD18" s="899">
        <f t="shared" si="4"/>
        <v>10707</v>
      </c>
      <c r="BE18" s="899">
        <f t="shared" si="4"/>
        <v>0</v>
      </c>
      <c r="BF18" s="899">
        <f t="shared" si="4"/>
        <v>0</v>
      </c>
      <c r="BG18" s="899">
        <f>IF(ISNUMBER(Datos!K18/Datos!J18),Datos!K18/Datos!J18," - ")</f>
        <v>0.98205942814427205</v>
      </c>
      <c r="BH18" s="903">
        <f>IF(ISNUMBER(((Datos!L18/Datos!K18)*11)/factor_trimestre),((Datos!L18/Datos!K18)*11)/factor_trimestre," - ")</f>
        <v>1.6006343165239454</v>
      </c>
      <c r="BI18" s="899">
        <f>SUBTOTAL(9,BI15:BI17)</f>
        <v>0.44874804480753971</v>
      </c>
      <c r="BJ18" s="899">
        <f>SUBTOTAL(9,BJ15:BJ17)</f>
        <v>0</v>
      </c>
      <c r="BK18" s="899">
        <f>SUBTOTAL(9,BK15:BK17)</f>
        <v>0</v>
      </c>
      <c r="BL18" s="899">
        <f>IF(ISNUMBER((I18-AB18+L18)/(F18)),(I18-AB18+L18)/(F18)," - ")</f>
        <v>-8.2582503928758513</v>
      </c>
      <c r="BM18" s="905">
        <f>IF(ISNUMBER((Datos!P18-Datos!Q18)/(Datos!R18-Datos!P18+Datos!Q18)),(Datos!P18-Datos!Q18)/(Datos!R18-Datos!P18+Datos!Q18)," - ")</f>
        <v>2.4213075060532689E-3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9</v>
      </c>
      <c r="F19" s="820">
        <f t="shared" si="6"/>
        <v>1914</v>
      </c>
      <c r="G19" s="820">
        <f t="shared" si="6"/>
        <v>1988</v>
      </c>
      <c r="H19" s="822">
        <f t="shared" si="6"/>
        <v>0</v>
      </c>
      <c r="I19" s="820">
        <f t="shared" si="6"/>
        <v>0</v>
      </c>
      <c r="J19" s="822">
        <f t="shared" si="6"/>
        <v>0</v>
      </c>
      <c r="K19" s="822">
        <f t="shared" si="6"/>
        <v>0</v>
      </c>
      <c r="L19" s="881">
        <f t="shared" si="6"/>
        <v>0</v>
      </c>
      <c r="M19" s="881">
        <f t="shared" si="6"/>
        <v>0</v>
      </c>
      <c r="N19" s="881">
        <f t="shared" si="6"/>
        <v>457</v>
      </c>
      <c r="O19" s="881">
        <f t="shared" si="6"/>
        <v>0</v>
      </c>
      <c r="P19" s="881">
        <f t="shared" si="6"/>
        <v>0</v>
      </c>
      <c r="Q19" s="822">
        <f t="shared" si="6"/>
        <v>2356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15878</v>
      </c>
      <c r="AC19" s="821">
        <f t="shared" si="7"/>
        <v>2210</v>
      </c>
      <c r="AD19" s="821">
        <f t="shared" si="7"/>
        <v>0</v>
      </c>
      <c r="AE19" s="821">
        <f t="shared" si="7"/>
        <v>0</v>
      </c>
      <c r="AF19" s="828">
        <f t="shared" si="7"/>
        <v>2313</v>
      </c>
      <c r="AG19" s="828">
        <f t="shared" si="7"/>
        <v>0</v>
      </c>
      <c r="AH19" s="828">
        <f t="shared" si="7"/>
        <v>166</v>
      </c>
      <c r="AI19" s="828">
        <f t="shared" si="7"/>
        <v>0</v>
      </c>
      <c r="AJ19" s="821">
        <f t="shared" si="7"/>
        <v>0</v>
      </c>
      <c r="AK19" s="828">
        <f t="shared" si="7"/>
        <v>0</v>
      </c>
      <c r="AL19" s="828">
        <f t="shared" si="7"/>
        <v>0</v>
      </c>
      <c r="AM19" s="828">
        <f t="shared" si="7"/>
        <v>8052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5193</v>
      </c>
      <c r="BD19" s="820">
        <f t="shared" si="7"/>
        <v>19043</v>
      </c>
      <c r="BE19" s="820">
        <f t="shared" si="7"/>
        <v>0</v>
      </c>
      <c r="BF19" s="830">
        <f t="shared" si="7"/>
        <v>0</v>
      </c>
      <c r="BG19" s="915">
        <f>IF(ISNUMBER(Datos!K19/Datos!J19),Datos!K19/Datos!J19," - ")</f>
        <v>0.964321208507255</v>
      </c>
      <c r="BH19" s="915">
        <f>IF(ISNUMBER(((Datos!L19/Datos!K19)*11)/factor_trimestre),((Datos!L19/Datos!K19)*11)/factor_trimestre," - ")</f>
        <v>3.4743206568415266</v>
      </c>
      <c r="BI19" s="813">
        <f>IF(ISNUMBER(Datos!J19/Datos!I19),Datos!J19/Datos!I19," - ")</f>
        <v>3.7294292068198667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-8.2957157784743991</v>
      </c>
      <c r="BM19" s="889">
        <f>IF(ISNUMBER((Datos!P19-Datos!Q19+R19)/(Datos!R19-Datos!P19+Datos!Q19-R19)),(Datos!P19-Datos!Q19+R19)/(Datos!R19-Datos!P19+Datos!Q19-R19)," - ")</f>
        <v>1.8466987098406273E-2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662.66666666666663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2.3979157616563596</v>
      </c>
      <c r="F21" s="551">
        <f>IF(ISNUMBER(STDEV(F8:F18)),STDEV(F8:F18),"-")</f>
        <v>1043.7786163741812</v>
      </c>
      <c r="G21" s="552">
        <f>IF(ISNUMBER(STDEV(G8:G18)),STDEV(G8:G18),"-")</f>
        <v>987.75759509439706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7834.1661117611411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1378.0162501633592</v>
      </c>
      <c r="BD21" s="551"/>
      <c r="BE21" s="551">
        <f>IF(ISNUMBER(STDEV(BE8:BE18)),STDEV(BE8:BE18),"-")</f>
        <v>0</v>
      </c>
      <c r="BF21" s="556">
        <f>IF(ISNUMBER(STDEV(BF8:BF18)),STDEV(BF8:BF18),"-")</f>
        <v>0</v>
      </c>
      <c r="BG21" s="775">
        <f>IF(ISNUMBER(STDEV(BG8:BG18)),STDEV(BG8:BG18),"-")</f>
        <v>4.0710308885314066E-2</v>
      </c>
      <c r="BH21" s="776">
        <f>IF(ISNUMBER(STDEV(BH8:BH18)),STDEV(BH8:BH18),"-")</f>
        <v>2.2209246074569862</v>
      </c>
      <c r="BI21" s="249">
        <f>IF(ISNUMBER(STDEV(BI8:BI18)),STDEV(BI8:BI18),"-")</f>
        <v>0.13942637584358139</v>
      </c>
      <c r="BJ21" s="230" t="str">
        <f>IF(ISNUMBER(BL21/BM21),BL21/BM21," - ")</f>
        <v xml:space="preserve"> - </v>
      </c>
      <c r="BK21" s="575"/>
      <c r="BL21" s="559">
        <f>IF(ISNUMBER(STDEV(BL8:BL18)),STDEV(BL8:BL18),"-")</f>
        <v>10.141148401276988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hHVF+xqqv6g3W6VSbA1UiTTQzaP8PdIrNbX1NPCJR2SvKxs3JSZFv5tgevjSZNh2l4VvMjOy7FokNmLGLtOJA==" saltValue="3QPrp21Toul6GbWzMJbEw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ARRECIFE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1950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1443</v>
      </c>
      <c r="AA9" s="332" t="str">
        <f>IF(ISNUMBER(IF(J_V="SI",Datos!L9,Datos!L9+Datos!AB9)-IF(Monitorios="SI",Datos!CD9,0)),
                          IF(J_V="SI",Datos!L9,Datos!L9+Datos!AB9)-IF(Monitorios="SI",Datos!CD9,0),
                          " - ")</f>
        <v xml:space="preserve"> - </v>
      </c>
      <c r="AB9" s="334"/>
      <c r="AC9" s="334"/>
      <c r="AD9" s="484"/>
      <c r="AE9" s="484">
        <f>IF(ISNUMBER(Datos!R9),Datos!R9," - ")</f>
        <v>7528</v>
      </c>
      <c r="AF9" s="229" t="str">
        <f>IF(ISNUMBER(Datos!BV9),Datos!BV9," - ")</f>
        <v xml:space="preserve"> - </v>
      </c>
      <c r="AG9" s="225" t="str">
        <f>IF(ISNUMBER(Datos!DV9),Datos!DV9," - ")</f>
        <v xml:space="preserve"> - </v>
      </c>
      <c r="AH9" s="298"/>
      <c r="AI9" s="227"/>
      <c r="AJ9" s="225">
        <f>IF(ISNUMBER(Datos!M9),Datos!M9," - ")</f>
        <v>3049</v>
      </c>
      <c r="AK9" s="229">
        <f>IF(ISNUMBER(Datos!N9),Datos!N9," - ")</f>
        <v>8290</v>
      </c>
      <c r="AL9" s="229" t="str">
        <f>IF(ISNUMBER(Datos!BW9),Datos!BW9," - ")</f>
        <v xml:space="preserve"> - </v>
      </c>
      <c r="AM9" s="228" t="str">
        <f>IF(ISNUMBER(Datos!BX9),Datos!BX9," - ")</f>
        <v xml:space="preserve"> - </v>
      </c>
      <c r="AN9" s="243"/>
      <c r="AO9" s="260">
        <f>IF(ISNUMBER(((NºAsuntos!I9/NºAsuntos!G9)*11)/factor_trimestre),((NºAsuntos!I9/NºAsuntos!G9)*11)/factor_trimestre," - ")</f>
        <v>5.6412924823520854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7.2211935621706316E-2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113</v>
      </c>
      <c r="Z10" s="619">
        <f>IF(ISNUMBER(Datos!Q10),Datos!Q10," - ")</f>
        <v>7</v>
      </c>
      <c r="AA10" s="332">
        <f>IF(ISNUMBER(Datos!L10),Datos!L10,"-")</f>
        <v>19</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54</v>
      </c>
      <c r="AK10" s="229">
        <f>IF(ISNUMBER(Datos!N10),Datos!N10," - ")</f>
        <v>43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1.849557522123894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0.13333333333333333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382</v>
      </c>
      <c r="AA12" s="332" t="str">
        <f>IF(ISNUMBER(IF(J_V="SI",Datos!L12,Datos!L12+Datos!AB12)-IF(Monitorios="SI",Datos!CD12,0)),
                          IF(J_V="SI",Datos!L12,Datos!L12+Datos!AB12)-IF(Monitorios="SI",Datos!CD12,0),
                          " - ")</f>
        <v xml:space="preserve"> - </v>
      </c>
      <c r="AB12" s="334"/>
      <c r="AC12" s="334"/>
      <c r="AD12" s="484"/>
      <c r="AE12" s="484">
        <f>IF(ISNUMBER(Datos!R12),Datos!R12," - ")</f>
        <v>76</v>
      </c>
      <c r="AF12" s="229" t="str">
        <f>IF(ISNUMBER(Datos!BV12),Datos!BV12," - ")</f>
        <v xml:space="preserve"> - </v>
      </c>
      <c r="AG12" s="225" t="str">
        <f>IF(ISNUMBER(Datos!DV12),Datos!DV12," - ")</f>
        <v xml:space="preserve"> - </v>
      </c>
      <c r="AH12" s="298"/>
      <c r="AI12" s="227"/>
      <c r="AJ12" s="225">
        <f>IF(ISNUMBER(Datos!M12),Datos!M12," - ")</f>
        <v>0</v>
      </c>
      <c r="AK12" s="229">
        <f>IF(ISNUMBER(Datos!N12),Datos!N12," - ")</f>
        <v>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0</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-0.82805429864253388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1977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113</v>
      </c>
      <c r="Z13" s="907">
        <f t="shared" si="2"/>
        <v>1832</v>
      </c>
      <c r="AA13" s="900">
        <f t="shared" si="2"/>
        <v>19</v>
      </c>
      <c r="AB13" s="900">
        <f t="shared" si="2"/>
        <v>0</v>
      </c>
      <c r="AC13" s="900">
        <f t="shared" si="2"/>
        <v>0</v>
      </c>
      <c r="AD13" s="900">
        <f t="shared" si="2"/>
        <v>0</v>
      </c>
      <c r="AE13" s="900">
        <f t="shared" si="2"/>
        <v>7638</v>
      </c>
      <c r="AF13" s="908">
        <f t="shared" si="2"/>
        <v>0</v>
      </c>
      <c r="AG13" s="908">
        <f t="shared" si="2"/>
        <v>0</v>
      </c>
      <c r="AH13" s="908">
        <f t="shared" si="2"/>
        <v>0</v>
      </c>
      <c r="AI13" s="908">
        <f t="shared" si="2"/>
        <v>0</v>
      </c>
      <c r="AJ13" s="908">
        <f t="shared" si="2"/>
        <v>3103</v>
      </c>
      <c r="AK13" s="908">
        <f t="shared" si="2"/>
        <v>8336</v>
      </c>
      <c r="AL13" s="908">
        <f t="shared" si="2"/>
        <v>0</v>
      </c>
      <c r="AM13" s="908">
        <f t="shared" si="2"/>
        <v>0</v>
      </c>
      <c r="AN13" s="908">
        <f t="shared" si="2"/>
        <v>0</v>
      </c>
      <c r="AO13" s="904">
        <f>IF(ISNUMBER(((NºAsuntos!I13/NºAsuntos!G13)*11)/factor_trimestre),((NºAsuntos!I13/NºAsuntos!G13)*11)/factor_trimestre," - ")</f>
        <v>5.6091506098001007</v>
      </c>
      <c r="AP13" s="910" t="str">
        <f>IF(ISNUMBER(Datos!CI13/Datos!CJ13),Datos!CI13/Datos!CJ13," - ")</f>
        <v xml:space="preserve"> - </v>
      </c>
      <c r="AQ13" s="928">
        <f t="shared" ref="AQ13:AV13" si="3">SUBTOTAL(9,AQ9:AQ12)</f>
        <v>0</v>
      </c>
      <c r="AR13" s="928">
        <f t="shared" si="3"/>
        <v>-0.62250902968749422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1909</v>
      </c>
      <c r="G15" s="225">
        <f>IF(ISNUMBER(IF(D_I="SI",Datos!I15,Datos!I15+Datos!AC15)),IF(D_I="SI",Datos!I15,Datos!I15+Datos!AC15)," - ")</f>
        <v>1890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338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15028</v>
      </c>
      <c r="Z15" s="619">
        <f>IF(ISNUMBER(Datos!Q15),Datos!Q15," - ")</f>
        <v>341</v>
      </c>
      <c r="AA15" s="332">
        <f>IF(ISNUMBER(IF(D_I="SI",Datos!L15,Datos!L15+Datos!AF15)),IF(D_I="SI",Datos!L15,Datos!L15+Datos!AF15)," - ")</f>
        <v>2203</v>
      </c>
      <c r="AB15" s="334"/>
      <c r="AC15" s="334"/>
      <c r="AD15" s="484"/>
      <c r="AE15" s="484">
        <f>IF(ISNUMBER(Datos!R15),Datos!R15," - ")</f>
        <v>384</v>
      </c>
      <c r="AF15" s="229" t="str">
        <f>IF(ISNUMBER(Datos!BV15),Datos!BV15," - ")</f>
        <v xml:space="preserve"> - </v>
      </c>
      <c r="AG15" s="225"/>
      <c r="AH15" s="298"/>
      <c r="AI15" s="227"/>
      <c r="AJ15" s="225">
        <f>IF(ISNUMBER(Datos!M15),Datos!M15," - ")</f>
        <v>1850</v>
      </c>
      <c r="AK15" s="229">
        <f>IF(ISNUMBER(Datos!N15),Datos!N15," - ")</f>
        <v>10390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1.6125232898589299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737</v>
      </c>
      <c r="Z17" s="619">
        <f>IF(ISNUMBER(Datos!Q17),Datos!Q17," - ")</f>
        <v>37</v>
      </c>
      <c r="AA17" s="332">
        <f>IF(ISNUMBER(Datos!L17),Datos!L17,"-")</f>
        <v>91</v>
      </c>
      <c r="AB17" s="334"/>
      <c r="AC17" s="334"/>
      <c r="AD17" s="484"/>
      <c r="AE17" s="484">
        <f>IF(ISNUMBER(Datos!R17),Datos!R17," - ")</f>
        <v>29</v>
      </c>
      <c r="AF17" s="229" t="str">
        <f>IF(ISNUMBER(Datos!BV17),Datos!BV17," - ")</f>
        <v xml:space="preserve"> - </v>
      </c>
      <c r="AG17" s="225" t="str">
        <f>IF(ISNUMBER(Datos!DV17),Datos!DV17," - ")</f>
        <v xml:space="preserve"> - </v>
      </c>
      <c r="AH17" s="298"/>
      <c r="AI17" s="227"/>
      <c r="AJ17" s="225">
        <f>IF(ISNUMBER(Datos!M17),Datos!M17," - ")</f>
        <v>240</v>
      </c>
      <c r="AK17" s="229">
        <f>IF(ISNUMBER(Datos!N17),Datos!N17," - ")</f>
        <v>317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1.3582089552238805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1909</v>
      </c>
      <c r="G18" s="898">
        <f>SUBTOTAL(9,G15:G17)</f>
        <v>1983</v>
      </c>
      <c r="H18" s="932">
        <f>SUBTOTAL(9,H15:H17)</f>
        <v>0</v>
      </c>
      <c r="I18" s="911">
        <f>SUBTOTAL(9,I15:I17)</f>
        <v>0</v>
      </c>
      <c r="J18" s="867">
        <f>SUBTOTAL(9,J14:J17)</f>
        <v>0</v>
      </c>
      <c r="K18" s="932">
        <f t="shared" ref="K18:S18" si="4">SUBTOTAL(9,K15:K17)</f>
        <v>0</v>
      </c>
      <c r="L18" s="932">
        <f t="shared" si="4"/>
        <v>0</v>
      </c>
      <c r="M18" s="932">
        <f t="shared" si="4"/>
        <v>0</v>
      </c>
      <c r="N18" s="932">
        <f t="shared" si="4"/>
        <v>379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15765</v>
      </c>
      <c r="Z18" s="932">
        <f t="shared" si="5"/>
        <v>378</v>
      </c>
      <c r="AA18" s="932">
        <f t="shared" si="5"/>
        <v>2294</v>
      </c>
      <c r="AB18" s="932">
        <f t="shared" si="5"/>
        <v>0</v>
      </c>
      <c r="AC18" s="932">
        <f t="shared" si="5"/>
        <v>0</v>
      </c>
      <c r="AD18" s="932">
        <f t="shared" si="5"/>
        <v>0</v>
      </c>
      <c r="AE18" s="932">
        <f t="shared" si="5"/>
        <v>414</v>
      </c>
      <c r="AF18" s="932">
        <f t="shared" si="5"/>
        <v>0</v>
      </c>
      <c r="AG18" s="932">
        <f t="shared" si="5"/>
        <v>0</v>
      </c>
      <c r="AH18" s="932">
        <f t="shared" si="5"/>
        <v>0</v>
      </c>
      <c r="AI18" s="932">
        <f t="shared" si="5"/>
        <v>0</v>
      </c>
      <c r="AJ18" s="932">
        <f t="shared" si="5"/>
        <v>2090</v>
      </c>
      <c r="AK18" s="932">
        <f t="shared" si="5"/>
        <v>10707</v>
      </c>
      <c r="AL18" s="932">
        <f t="shared" si="5"/>
        <v>0</v>
      </c>
      <c r="AM18" s="932">
        <f t="shared" si="5"/>
        <v>0</v>
      </c>
      <c r="AN18" s="932">
        <f t="shared" si="5"/>
        <v>0</v>
      </c>
      <c r="AO18" s="934">
        <f>IF(ISNUMBER(((NºAsuntos!I18/NºAsuntos!G18)*11)/factor_trimestre),((NºAsuntos!I18/NºAsuntos!G18)*11)/factor_trimestre," - ")</f>
        <v>1.6006343165239454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1914</v>
      </c>
      <c r="G19" s="820">
        <f t="shared" si="7"/>
        <v>1988</v>
      </c>
      <c r="H19" s="821">
        <f t="shared" si="7"/>
        <v>0</v>
      </c>
      <c r="I19" s="820">
        <f t="shared" si="7"/>
        <v>0</v>
      </c>
      <c r="J19" s="822">
        <f t="shared" si="7"/>
        <v>0</v>
      </c>
      <c r="K19" s="820">
        <f t="shared" si="7"/>
        <v>0</v>
      </c>
      <c r="L19" s="823">
        <f t="shared" si="7"/>
        <v>0</v>
      </c>
      <c r="M19" s="820">
        <f t="shared" si="7"/>
        <v>0</v>
      </c>
      <c r="N19" s="821">
        <f t="shared" si="7"/>
        <v>2356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15878</v>
      </c>
      <c r="Z19" s="827">
        <f t="shared" si="8"/>
        <v>2210</v>
      </c>
      <c r="AA19" s="828">
        <f t="shared" si="8"/>
        <v>2313</v>
      </c>
      <c r="AB19" s="828">
        <f t="shared" si="8"/>
        <v>0</v>
      </c>
      <c r="AC19" s="828">
        <f t="shared" si="8"/>
        <v>0</v>
      </c>
      <c r="AD19" s="829">
        <f t="shared" si="8"/>
        <v>0</v>
      </c>
      <c r="AE19" s="829">
        <f t="shared" si="8"/>
        <v>8052</v>
      </c>
      <c r="AF19" s="830">
        <f t="shared" si="8"/>
        <v>0</v>
      </c>
      <c r="AG19" s="831">
        <f t="shared" si="8"/>
        <v>0</v>
      </c>
      <c r="AH19" s="832">
        <f t="shared" si="8"/>
        <v>0</v>
      </c>
      <c r="AI19" s="830">
        <f t="shared" si="8"/>
        <v>0</v>
      </c>
      <c r="AJ19" s="820">
        <f t="shared" si="8"/>
        <v>5193</v>
      </c>
      <c r="AK19" s="820">
        <f t="shared" si="8"/>
        <v>19043</v>
      </c>
      <c r="AL19" s="820">
        <f t="shared" si="8"/>
        <v>0</v>
      </c>
      <c r="AM19" s="833">
        <f t="shared" si="8"/>
        <v>0</v>
      </c>
      <c r="AN19" s="823">
        <f>IF(ISNUMBER(Datos!K19/Datos!J19),Datos!K19/Datos!J19," - ")</f>
        <v>0.964321208507255</v>
      </c>
      <c r="AO19" s="823">
        <f>IF(ISNUMBER(FIND("06",Criterios!A8,1)),(IF(ISNUMBER(((Datos!R19/Datos!Q19)*11)/factor_trimestre),((Datos!R19/Datos!Q19)*11)/factor_trimestre," - ")),(IF(ISNUMBER(((Datos!L19/Datos!K19)*11)/factor_trimestre),((Datos!L19/Datos!K19)*11)/factor_trimestre," - ")))</f>
        <v>3.4743206568415266</v>
      </c>
      <c r="AP19" s="834" t="str">
        <f>IF(ISNUMBER(Datos!CI19/Datos!CJ19),Datos!CI19/Datos!CJ19," - ")</f>
        <v xml:space="preserve"> - </v>
      </c>
      <c r="AQ19" s="834">
        <f>IF(OR(ISNUMBER(FIND("01",Criterios!A8,1)),ISNUMBER(FIND("02",Criterios!A8,1)),ISNUMBER(FIND("03",Criterios!A8,1)),ISNUMBER(FIND("04",Criterios!A8,1))),(J19-Y19+K19)/(F19-K19),(I19-Y19+K19)/(F19-K19))</f>
        <v>-8.2957157784743991</v>
      </c>
      <c r="AR19" s="834">
        <f>IF(ISNUMBER((Datos!P19-Datos!Q19+O19)/(Datos!R19-Datos!P19+Datos!Q19-O19)),(Datos!P19-Datos!Q19+O19)/(Datos!R19-Datos!P19+Datos!Q19-O19)," - ")</f>
        <v>1.8466987098406273E-2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662.66666666666663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1043.7786163741812</v>
      </c>
      <c r="G21" s="552">
        <f>IF(ISNUMBER(STDEV(G8:G18)),STDEV(G8:G18),"-")</f>
        <v>987.75759509439706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1378.0162501633592</v>
      </c>
      <c r="AK21" s="252"/>
      <c r="AL21" s="252">
        <f>IF(ISNUMBER(STDEV(AL8:AL18)),STDEV(AL8:AL18),"-")</f>
        <v>0</v>
      </c>
      <c r="AM21" s="254">
        <f>IF(ISNUMBER(STDEV(AM8:AM18)),STDEV(AM8:AM18),"-")</f>
        <v>0</v>
      </c>
      <c r="AN21" s="539">
        <f>IF(ISNUMBER(STDEV(AN8:AN18)),STDEV(AN8:AN18),"-")</f>
        <v>0</v>
      </c>
      <c r="AO21" s="540">
        <f>IF(ISNUMBER(STDEV(AO8:AO18)),STDEV(AO8:AO18),"-")</f>
        <v>2.2024068834110104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0oNz/1TIf5pG5BFS8AdonpAb9YdwmyXtMeHK+mwOwump47J6uQj9x2U8/Ujx2Zm2A1iwiEfqCkC30Rex8fLDg==" saltValue="YrZXh1Z7sxHjchG770tNC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dJuScz7gBynT1EmxhBPorbJlWUZ9hbmkQYN1zpbUT1QtuegSCJDHGROok7x8x4WIPD2d48KSud1isdxaUvuJg==" saltValue="ldfizYv2gNGpeNm2klS7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kjaJ3otvPNlIfM87boqBal/F8t0v3flgp6hDwqmmCGyh5L2o3NnkKX2igsIDHGPgLct4IkseruYgxHw2TE/8A==" saltValue="x+Hk/M6J5aNfbrRjUc+U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ARRECIFE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0.22393014360972793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0.15834252305851607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SJ+DQ0mS8LAGE0ZBkGVk3Unz+KJe5c/Y31T5ZvvTNl1QcLV5jhhzWW6woTxWM0ohqEIWAdqDNWauL/ozNZ1yQ==" saltValue="Wmr7/SvRaPxybkuPhZ9x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tmzkYTYwEeIOhGXwBfo63n2wg4wv8iruhvgtThyq1Ymsh8bZisDgDW/EgsDcrKpO0dJza3Sq4I5cnCvNVGKmFQ==" saltValue="6IjjB3r8kkkpGH0hMzwfE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ARRECIFE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6319</v>
      </c>
      <c r="D9" s="404">
        <f>IF(ISNUMBER(C9/Datos!BH9),C9/Datos!BH9," - ")</f>
        <v>1263.8</v>
      </c>
      <c r="E9" s="403">
        <f>IF(ISNUMBER(IF(J_V="SI",Datos!J9,Datos!J9+Datos!Z9)),IF(J_V="SI",Datos!J9,Datos!J9+Datos!Z9)," - ")</f>
        <v>14460</v>
      </c>
      <c r="F9" s="404">
        <f>IF(ISNUMBER(E9/B9),E9/B9," - ")</f>
        <v>2892</v>
      </c>
      <c r="G9" s="403">
        <f>IF(ISNUMBER(IF(J_V="SI",Datos!K9,Datos!K9+Datos!AA9)),IF(J_V="SI",Datos!K9,Datos!K9+Datos!AA9)," - ")</f>
        <v>13741</v>
      </c>
      <c r="H9" s="404">
        <f>IF(ISNUMBER(G9/B9),G9/B9," - ")</f>
        <v>2748.2</v>
      </c>
      <c r="I9" s="403">
        <f>IF(ISNUMBER(IF(J_V="SI",Datos!L9,Datos!L9+Datos!AB9)),IF(J_V="SI",Datos!L9,Datos!L9+Datos!AB9)," - ")</f>
        <v>7047</v>
      </c>
      <c r="J9" s="404">
        <f>IF(ISNUMBER(I9/B9),I9/B9," - ")</f>
        <v>1409.4</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127</v>
      </c>
      <c r="F10" s="404">
        <f>IF(ISNUMBER(E10/B10),E10/B10," - ")</f>
        <v>127</v>
      </c>
      <c r="G10" s="403">
        <f>IF(ISNUMBER(Datos!K10),Datos!K10," - ")</f>
        <v>113</v>
      </c>
      <c r="H10" s="404">
        <f>IF(ISNUMBER(G10/B10),G10/B10," - ")</f>
        <v>113</v>
      </c>
      <c r="I10" s="403">
        <f>IF(ISNUMBER(Datos!L10),Datos!L10," - ")</f>
        <v>19</v>
      </c>
      <c r="J10" s="404">
        <f>IF(ISNUMBER(I10/B10),I10/B10," - ")</f>
        <v>19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3</v>
      </c>
      <c r="F12" s="404" t="str">
        <f>IF(ISNUMBER(E12/B12),E12/B12," - ")</f>
        <v xml:space="preserve"> - </v>
      </c>
      <c r="G12" s="403">
        <f>IF(ISNUMBER(IF(J_V="SI",Datos!K12,Datos!K12+Datos!AA12)),IF(J_V="SI",Datos!K12,Datos!K12+Datos!AA12)," - ")</f>
        <v>3</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6324</v>
      </c>
      <c r="D13" s="850" t="str">
        <f>IF(ISNUMBER(C13/Datos!BI13),C13/Datos!BI13," - ")</f>
        <v xml:space="preserve"> - </v>
      </c>
      <c r="E13" s="849">
        <f>SUBTOTAL(9,E8:E12)</f>
        <v>14590</v>
      </c>
      <c r="F13" s="850">
        <f>IF(ISNUMBER(E13/B13),E13/B13," - ")</f>
        <v>2918</v>
      </c>
      <c r="G13" s="849">
        <f>SUBTOTAL(9,G8:G12)</f>
        <v>13857</v>
      </c>
      <c r="H13" s="850">
        <f>IF(ISNUMBER(G13/B13),G13/B13," - ")</f>
        <v>2771.4</v>
      </c>
      <c r="I13" s="849">
        <f>SUBTOTAL(9,I8:I12)</f>
        <v>7066</v>
      </c>
      <c r="J13" s="850">
        <f>IF(ISNUMBER(I13/B13),I13/B13," - ")</f>
        <v>1413.2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1890</v>
      </c>
      <c r="D15" s="404">
        <f>IF(ISNUMBER(C15/Datos!BH15),C15/Datos!BH15," - ")</f>
        <v>472.5</v>
      </c>
      <c r="E15" s="403">
        <f>IF(ISNUMBER(IF(D_I="SI",Datos!J15,Datos!J15+Datos!AD15)),IF(D_I="SI",Datos!J15,Datos!J15+Datos!AD15)," - ")</f>
        <v>15322</v>
      </c>
      <c r="F15" s="404">
        <f>IF(ISNUMBER(E15/B15),E15/B15," - ")</f>
        <v>3830.5</v>
      </c>
      <c r="G15" s="403">
        <f>IF(ISNUMBER(IF(D_I="SI",Datos!K15,Datos!K15+Datos!AE15)),IF(D_I="SI",Datos!K15,Datos!K15+Datos!AE15)," - ")</f>
        <v>15028</v>
      </c>
      <c r="H15" s="404">
        <f>IF(ISNUMBER(G15/B15),G15/B15," - ")</f>
        <v>3757</v>
      </c>
      <c r="I15" s="403">
        <f>IF(ISNUMBER(IF(D_I="SI",Datos!L15,Datos!L15+Datos!AF15)),IF(D_I="SI",Datos!L15,Datos!L15+Datos!AF15)," - ")</f>
        <v>2203</v>
      </c>
      <c r="J15" s="404">
        <f>IF(ISNUMBER(I15/B15),I15/B15," - ")</f>
        <v>550.75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0</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93</v>
      </c>
      <c r="D17" s="404">
        <f>IF(ISNUMBER(C17/Datos!BH17),C17/Datos!BH17," - ")</f>
        <v>93</v>
      </c>
      <c r="E17" s="403">
        <f>IF(ISNUMBER(IF(D_I="SI",Datos!J17,Datos!J17+Datos!AD17)),IF(D_I="SI",Datos!J17,Datos!J17+Datos!AD17)," - ")</f>
        <v>731</v>
      </c>
      <c r="F17" s="404">
        <f>IF(ISNUMBER(E17/B17),E17/B17," - ")</f>
        <v>731</v>
      </c>
      <c r="G17" s="403">
        <f>IF(ISNUMBER(IF(D_I="SI",Datos!K17,Datos!K17+Datos!AE17)),IF(D_I="SI",Datos!K17,Datos!K17+Datos!AE17)," - ")</f>
        <v>737</v>
      </c>
      <c r="H17" s="404">
        <f>IF(ISNUMBER(G17/B17),G17/B17," - ")</f>
        <v>737</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1983</v>
      </c>
      <c r="D18" s="850" t="str">
        <f>IF(ISNUMBER(C18/Datos!BI18),C18/Datos!BI18," - ")</f>
        <v xml:space="preserve"> - </v>
      </c>
      <c r="E18" s="849">
        <f>SUBTOTAL(9,E14:E17)</f>
        <v>16053</v>
      </c>
      <c r="F18" s="850">
        <f>IF(ISNUMBER(E18/B18),E18/B18," - ")</f>
        <v>4013.25</v>
      </c>
      <c r="G18" s="849">
        <f>SUBTOTAL(9,G14:G17)</f>
        <v>15765</v>
      </c>
      <c r="H18" s="850">
        <f>IF(ISNUMBER(G18/B18),G18/B18," - ")</f>
        <v>3941.25</v>
      </c>
      <c r="I18" s="849">
        <f>SUBTOTAL(9,I14:I17)</f>
        <v>2294</v>
      </c>
      <c r="J18" s="850">
        <f>IF(ISNUMBER(I18/B18),I18/B18," - ")</f>
        <v>573.5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8307</v>
      </c>
      <c r="D19" s="795" t="str">
        <f>IF(ISNUMBER(C19/Datos!BI19),C19/Datos!BI19," - ")</f>
        <v xml:space="preserve"> - </v>
      </c>
      <c r="E19" s="794">
        <f>SUBTOTAL(9,E9:E18)</f>
        <v>30643</v>
      </c>
      <c r="F19" s="795">
        <f>IF(ISNUMBER(E19/B19),E19/B19," - ")</f>
        <v>3404.7777777777778</v>
      </c>
      <c r="G19" s="794">
        <f>SUBTOTAL(9,G9:G18)</f>
        <v>29622</v>
      </c>
      <c r="H19" s="795">
        <f>IF(ISNUMBER(G19/B19),G19/B19," - ")</f>
        <v>3291.3333333333335</v>
      </c>
      <c r="I19" s="794">
        <f>SUBTOTAL(9,I9:I18)</f>
        <v>9360</v>
      </c>
      <c r="J19" s="795">
        <f>IF(ISNUMBER(I19/B19),I19/B19," - ")</f>
        <v>1040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Wmt+hAODq+rAT0YvGbJVufYslRG4dvmnfKRTPLHM2jd2k3A8lG1HyWks2sZrMf0NhpszaRCZGO/YPOrq+fHcg==" saltValue="/7BdHqqtPQc/tx0s7Cb9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ARRECIFE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113</v>
      </c>
      <c r="AC10" s="683" t="str">
        <f>IF(ISNUMBER(IF(D_I="SI",DatosP!K17,DatosP!K17+DatosP!AE17)),IF(D_I="SI",DatosP!K17,DatosP!K17+DatosP!AE17)," - ")</f>
        <v xml:space="preserve"> - </v>
      </c>
      <c r="AD10" s="685"/>
      <c r="AE10" s="685"/>
      <c r="AF10" s="688">
        <f>IF(ISNUMBER(Datos!L10),Datos!L10,"-")</f>
        <v>19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54</v>
      </c>
      <c r="AM10" s="690">
        <f>IF(ISNUMBER(Datos!N10+DatosP!N17),Datos!N10+DatosP!N17," - ")</f>
        <v>43</v>
      </c>
      <c r="AN10" s="690">
        <f>IF(ISNUMBER(Datos!BW10+DatosP!BW17),Datos!BW10+DatosP!BW17," - ")</f>
        <v>0</v>
      </c>
      <c r="AO10" s="691">
        <f>IF(ISNUMBER(Datos!BX10+DatosP!BX17),Datos!BX10+DatosP!BX17," - ")</f>
        <v>0</v>
      </c>
      <c r="AP10" s="693">
        <f>IF(ISNUMBER(((Datos!L10/Datos!K10)*11)/factor_trimestre),((Datos!L10/Datos!K10)*11)/factor_trimestre," - ")</f>
        <v>1.849557522123894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0</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-0.82805429864253388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113</v>
      </c>
      <c r="AC13" s="939">
        <f t="shared" si="1"/>
        <v>0</v>
      </c>
      <c r="AD13" s="939">
        <f t="shared" si="1"/>
        <v>382</v>
      </c>
      <c r="AE13" s="939">
        <f t="shared" si="1"/>
        <v>0</v>
      </c>
      <c r="AF13" s="939">
        <f t="shared" si="1"/>
        <v>19</v>
      </c>
      <c r="AG13" s="939">
        <f t="shared" si="1"/>
        <v>0</v>
      </c>
      <c r="AH13" s="939">
        <f t="shared" si="1"/>
        <v>76</v>
      </c>
      <c r="AI13" s="939">
        <f t="shared" si="1"/>
        <v>0</v>
      </c>
      <c r="AJ13" s="939">
        <f t="shared" si="1"/>
        <v>0</v>
      </c>
      <c r="AK13" s="939">
        <f t="shared" si="1"/>
        <v>0</v>
      </c>
      <c r="AL13" s="939">
        <f t="shared" si="1"/>
        <v>54</v>
      </c>
      <c r="AM13" s="939">
        <f t="shared" si="1"/>
        <v>46</v>
      </c>
      <c r="AN13" s="939">
        <f t="shared" si="1"/>
        <v>0</v>
      </c>
      <c r="AO13" s="939">
        <f t="shared" si="1"/>
        <v>0</v>
      </c>
      <c r="AP13" s="944">
        <f>IF(ISNUMBER(((Datos!L13/Datos!K13)*11)/factor_trimestre),((Datos!L13/Datos!K13)*11)/factor_trimestre," - ")</f>
        <v>5.6879496402877701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-22.6</v>
      </c>
      <c r="AU13" s="939" t="str">
        <f>IF(ISNUMBER((DatosP!#REF!-DatosP!#REF!+DatosP!#REF!)/(DatosP!#REF!+DatosP!#REF!-DatosP!#REF!-DatosP!#REF!)),(DatosP!#REF!-DatosP!#REF!+DatosP!#REF!)/(DatosP!#REF!+DatosP!#REF!-DatosP!#REF!-DatosP!#REF!)," - ")</f>
        <v xml:space="preserve"> - </v>
      </c>
      <c r="AV13" s="945">
        <f>SUBTOTAL(9,AV9:AV12)</f>
        <v>-0.82805429864253388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1.6006343165239454</v>
      </c>
      <c r="AQ18" s="944">
        <f>IF(ISNUMBER(((Datos!M18/Datos!L18)*11)/factor_trimestre),((Datos!M18/Datos!L18)*11)/factor_trimestre," - ")</f>
        <v>10.021795989537924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2.4213075060532689E-3</v>
      </c>
      <c r="AW18" s="946">
        <f>IF(ISNUMBER((Datos!Q18-Datos!R18)/(Datos!S18-Datos!Q18+Datos!R18)),(Datos!Q18-Datos!R18)/(Datos!S18-Datos!Q18+Datos!R18)," - ")</f>
        <v>-2.1479713603818614E-2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113</v>
      </c>
      <c r="AC19" s="957">
        <f t="shared" si="5"/>
        <v>0</v>
      </c>
      <c r="AD19" s="957">
        <f t="shared" si="5"/>
        <v>382</v>
      </c>
      <c r="AE19" s="957">
        <f t="shared" si="5"/>
        <v>0</v>
      </c>
      <c r="AF19" s="958">
        <f t="shared" si="5"/>
        <v>19</v>
      </c>
      <c r="AG19" s="958">
        <f t="shared" si="5"/>
        <v>0</v>
      </c>
      <c r="AH19" s="958">
        <f t="shared" si="5"/>
        <v>76</v>
      </c>
      <c r="AI19" s="958">
        <f t="shared" si="5"/>
        <v>0</v>
      </c>
      <c r="AJ19" s="959">
        <f t="shared" si="5"/>
        <v>0</v>
      </c>
      <c r="AK19" s="959">
        <f t="shared" si="5"/>
        <v>0</v>
      </c>
      <c r="AL19" s="951">
        <f t="shared" si="5"/>
        <v>54</v>
      </c>
      <c r="AM19" s="951">
        <f t="shared" si="5"/>
        <v>46</v>
      </c>
      <c r="AN19" s="951">
        <f t="shared" si="5"/>
        <v>0</v>
      </c>
      <c r="AO19" s="951">
        <f t="shared" si="5"/>
        <v>0</v>
      </c>
      <c r="AP19" s="951">
        <f>IF(ISNUMBER(((Datos!L19/Datos!K19)*11)/factor_trimestre),((Datos!L19/Datos!K19)*11)/factor_trimestre," - ")</f>
        <v>3.4743206568415266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1.8466987098406273E-2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65.240580418427712</v>
      </c>
      <c r="AC21" s="738">
        <f>IF(ISNUMBER(STDEV(AC8:AC18)),STDEV(AC8:AC18),"-")</f>
        <v>0</v>
      </c>
      <c r="AD21" s="741"/>
      <c r="AE21" s="741"/>
      <c r="AF21" s="741"/>
      <c r="AG21" s="741"/>
      <c r="AH21" s="741"/>
      <c r="AI21" s="741"/>
      <c r="AJ21" s="742">
        <f>IF(ISNUMBER(STDEV(AJ8:AJ18)),STDEV(AJ8:AJ18),"-")</f>
        <v>0</v>
      </c>
      <c r="AK21" s="744"/>
      <c r="AL21" s="736">
        <f>IF(ISNUMBER(STDEV(AL8:AL18)),STDEV(AL8:AL18),"-")</f>
        <v>31.176914536239792</v>
      </c>
      <c r="AM21" s="736"/>
      <c r="AN21" s="736">
        <f>IF(ISNUMBER(STDEV(AN8:AN18)),STDEV(AN8:AN18),"-")</f>
        <v>0</v>
      </c>
      <c r="AO21" s="742">
        <f>IF(ISNUMBER(STDEV(AO8:AO18)),STDEV(AO8:AO18),"-")</f>
        <v>0</v>
      </c>
      <c r="AP21" s="779">
        <f>IF(ISNUMBER(STDEV(AP8:AP18)),STDEV(AP8:AP18),"-")</f>
        <v>2.4124162804864371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q3yhe4mBfNtNAp+w+A5h18W0VrHqYNQHsR0kpckZ88F8isSj8+uNLfB/zpNosz7jAEbVs45lLyAoZ3YZVm1UA==" saltValue="snEeYn6WVOxmex6jH8KB1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ARRECIFE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LKEYcaRv643lgIMNAoJqB9sEA8ecMYlCIz1UP7cXFYhL58pX+y561ZG2bR9i6mayuTYwH30Y3t1UqtkvDik1Xw==" saltValue="SsUS1ucOV5ck7D20UYTPX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ARRECIFE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3049</v>
      </c>
      <c r="E9" s="404">
        <f t="shared" ref="E9:E13" si="0">IF(ISNUMBER(D9/B9),D9/B9," - ")</f>
        <v>609.79999999999995</v>
      </c>
      <c r="F9" s="403">
        <f>IF(ISNUMBER(Datos!N9),Datos!N9," - ")</f>
        <v>8290</v>
      </c>
      <c r="G9" s="404">
        <f t="shared" ref="G9:G13" si="1">IF(ISNUMBER(F9/B9),F9/B9," - ")</f>
        <v>1658</v>
      </c>
      <c r="H9" s="403">
        <f>IF(ISNUMBER(Datos!O9),Datos!O9," - ")</f>
        <v>3245</v>
      </c>
      <c r="I9" s="404">
        <f>IF(ISNUMBER(H9/B9),H9/B9," - ")</f>
        <v>649</v>
      </c>
      <c r="BZ9" s="1186">
        <f>Datos!EZ9</f>
        <v>0</v>
      </c>
    </row>
    <row r="10" spans="1:78">
      <c r="A10" s="402" t="str">
        <f>Datos!A10</f>
        <v>Jdos. Violencia contra la mujer</v>
      </c>
      <c r="B10" s="427">
        <f>Datos!AO10</f>
        <v>1</v>
      </c>
      <c r="C10" s="410">
        <f>Datos!AQ10</f>
        <v>0</v>
      </c>
      <c r="D10" s="403">
        <f>IF(ISNUMBER(Datos!M10),Datos!M10," - ")</f>
        <v>54</v>
      </c>
      <c r="E10" s="404">
        <f>IF(ISNUMBER(D10/B10),D10/B10," - ")</f>
        <v>54</v>
      </c>
      <c r="F10" s="403">
        <f>IF(ISNUMBER(Datos!N10),Datos!N10," - ")</f>
        <v>43</v>
      </c>
      <c r="G10" s="404">
        <f>IF(ISNUMBER(F10/B10),F10/B10," - ")</f>
        <v>43</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3</v>
      </c>
      <c r="G12" s="404" t="str">
        <f t="shared" si="1"/>
        <v xml:space="preserve"> - </v>
      </c>
      <c r="H12" s="403">
        <f>IF(ISNUMBER(Datos!O12),Datos!O12," - ")</f>
        <v>232</v>
      </c>
      <c r="I12" s="404" t="str">
        <f t="shared" si="2"/>
        <v xml:space="preserve"> - </v>
      </c>
      <c r="BZ12" s="1186">
        <f>Datos!EZ12</f>
        <v>0</v>
      </c>
    </row>
    <row r="13" spans="1:78" ht="14.25" thickTop="1" thickBot="1">
      <c r="A13" s="848" t="str">
        <f>Datos!A13</f>
        <v>TOTAL</v>
      </c>
      <c r="B13" s="849">
        <f>Datos!AP13</f>
        <v>5</v>
      </c>
      <c r="C13" s="851">
        <f>Datos!AR13</f>
        <v>5</v>
      </c>
      <c r="D13" s="849">
        <f>SUBTOTAL(9,D9:D12)</f>
        <v>3103</v>
      </c>
      <c r="E13" s="850">
        <f t="shared" si="0"/>
        <v>620.6</v>
      </c>
      <c r="F13" s="849">
        <f>SUBTOTAL(9,F9:F12)</f>
        <v>8336</v>
      </c>
      <c r="G13" s="850">
        <f t="shared" si="1"/>
        <v>1667.2</v>
      </c>
      <c r="H13" s="849">
        <f>SUBTOTAL(9,H9:H12)</f>
        <v>3485</v>
      </c>
      <c r="I13" s="850">
        <f>IF(ISNUMBER(H13/B13),H13/B13," - ")</f>
        <v>697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1850</v>
      </c>
      <c r="E15" s="404">
        <f t="shared" ref="E15:E18" si="3">IF(ISNUMBER(D15/B15),D15/B15," - ")</f>
        <v>462.5</v>
      </c>
      <c r="F15" s="403">
        <f>IF(ISNUMBER(Datos!N15),Datos!N15," - ")</f>
        <v>10390</v>
      </c>
      <c r="G15" s="404">
        <f t="shared" ref="G15:G18" si="4">IF(ISNUMBER(F15/B15),F15/B15," - ")</f>
        <v>2597.5</v>
      </c>
      <c r="H15" s="403">
        <f>IF(ISNUMBER(Datos!O15),Datos!O15," - ")</f>
        <v>224</v>
      </c>
      <c r="I15" s="404">
        <f t="shared" ref="I15:I17" si="5">IF(ISNUMBER(H15/B15),H15/B15," - ")</f>
        <v>56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240</v>
      </c>
      <c r="E17" s="404">
        <f>IF(ISNUMBER(D17/B17),D17/B17," - ")</f>
        <v>240</v>
      </c>
      <c r="F17" s="403">
        <f>IF(ISNUMBER(Datos!N17),Datos!N17," - ")</f>
        <v>317</v>
      </c>
      <c r="G17" s="404">
        <f>IF(ISNUMBER(F17/B17),F17/B17," - ")</f>
        <v>317</v>
      </c>
      <c r="H17" s="403">
        <f>IF(ISNUMBER(Datos!O17),Datos!O17," - ")</f>
        <v>22</v>
      </c>
      <c r="I17" s="404">
        <f t="shared" si="5"/>
        <v>22</v>
      </c>
      <c r="BZ17" s="1186">
        <f>Datos!EZ17</f>
        <v>0</v>
      </c>
    </row>
    <row r="18" spans="1:78" ht="14.25" thickTop="1" thickBot="1">
      <c r="A18" s="848" t="str">
        <f>Datos!A18</f>
        <v>TOTAL</v>
      </c>
      <c r="B18" s="849">
        <f>Datos!AP18</f>
        <v>4</v>
      </c>
      <c r="C18" s="851">
        <f>Datos!AR18</f>
        <v>4</v>
      </c>
      <c r="D18" s="849">
        <f>SUBTOTAL(9,D15:D17)</f>
        <v>2090</v>
      </c>
      <c r="E18" s="850">
        <f t="shared" si="3"/>
        <v>522.5</v>
      </c>
      <c r="F18" s="849">
        <f>SUBTOTAL(9,F15:F17)</f>
        <v>10707</v>
      </c>
      <c r="G18" s="850">
        <f t="shared" si="4"/>
        <v>2676.75</v>
      </c>
      <c r="H18" s="849">
        <f>SUBTOTAL(9,H15:H17)</f>
        <v>246</v>
      </c>
      <c r="I18" s="850">
        <f>IF(ISNUMBER(H18/B18),H18/B18," - ")</f>
        <v>61.5</v>
      </c>
      <c r="BZ18" s="1186"/>
    </row>
    <row r="19" spans="1:78" ht="14.25" thickTop="1" thickBot="1">
      <c r="A19" s="793" t="str">
        <f>Datos!A19</f>
        <v>TOTAL JURISDICCIONES</v>
      </c>
      <c r="B19" s="794">
        <f>Datos!AP19</f>
        <v>9</v>
      </c>
      <c r="C19" s="794">
        <f>Datos!AR19</f>
        <v>9</v>
      </c>
      <c r="D19" s="794">
        <f>SUBTOTAL(9,D8:D18)</f>
        <v>5193</v>
      </c>
      <c r="E19" s="795">
        <f>IF(ISNUMBER(D19/B19),D19/B19," - ")</f>
        <v>577</v>
      </c>
      <c r="F19" s="794">
        <f>SUBTOTAL(9,F8:F18)</f>
        <v>19043</v>
      </c>
      <c r="G19" s="795">
        <f>IF(ISNUMBER(F19/B19),F19/B19," - ")</f>
        <v>2115.8888888888887</v>
      </c>
      <c r="H19" s="794">
        <f>SUBTOTAL(9,H8:H18)</f>
        <v>3731</v>
      </c>
      <c r="I19" s="795">
        <f>IF(ISNUMBER(H19/B19),H19/B19," - ")</f>
        <v>414.55555555555554</v>
      </c>
    </row>
    <row r="22" spans="1:78">
      <c r="A22" s="391" t="str">
        <f>Criterios!A4</f>
        <v>Fecha Informe: 28 feb. 2025</v>
      </c>
    </row>
    <row r="27" spans="1:78">
      <c r="A27" s="414"/>
    </row>
  </sheetData>
  <sheetProtection algorithmName="SHA-512" hashValue="Wb0gE+7HMXqhURHt2Z+u5ekDPJr2w2iAqZAzspntTDhZCVVCoFfS9nPM9CPCDe3lxVuxDozkYfem3uxUrnjMRA==" saltValue="5aIoakeTg4AyfM2POF9q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ARRECIFE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1950</v>
      </c>
      <c r="C9" s="434">
        <f>IF(ISNUMBER(Datos!Q9),Datos!Q9," - ")</f>
        <v>1443</v>
      </c>
      <c r="D9" s="408">
        <f>IF(ISNUMBER(Datos!R9),Datos!R9," - ")</f>
        <v>7528</v>
      </c>
    </row>
    <row r="10" spans="1:4">
      <c r="A10" s="402" t="str">
        <f>Datos!A10</f>
        <v>Jdos. Violencia contra la mujer</v>
      </c>
      <c r="B10" s="433">
        <f>IF(ISNUMBER(Datos!P10),Datos!P10," - ")</f>
        <v>11</v>
      </c>
      <c r="C10" s="434">
        <f>IF(ISNUMBER(Datos!Q10),Datos!Q10," - ")</f>
        <v>7</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v>
      </c>
      <c r="C12" s="434">
        <f>IF(ISNUMBER(Datos!Q12),Datos!Q12," - ")</f>
        <v>382</v>
      </c>
      <c r="D12" s="408">
        <f>IF(ISNUMBER(Datos!R12),Datos!R12," - ")</f>
        <v>76</v>
      </c>
    </row>
    <row r="13" spans="1:4" ht="14.25" thickTop="1" thickBot="1">
      <c r="A13" s="848" t="str">
        <f>Datos!A13</f>
        <v>TOTAL</v>
      </c>
      <c r="B13" s="849">
        <f>SUBTOTAL(9,B9:B12)</f>
        <v>1977</v>
      </c>
      <c r="C13" s="853">
        <f>SUBTOTAL(9,C9:C12)</f>
        <v>1832</v>
      </c>
      <c r="D13" s="851">
        <f>SUBTOTAL(9,D9:D12)</f>
        <v>7638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338</v>
      </c>
      <c r="C15" s="434">
        <f>IF(ISNUMBER(Datos!Q15),Datos!Q15," - ")</f>
        <v>341</v>
      </c>
      <c r="D15" s="408">
        <f>IF(ISNUMBER(Datos!R15),Datos!R15," - ")</f>
        <v>384</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41</v>
      </c>
      <c r="C17" s="434">
        <f>IF(ISNUMBER(Datos!Q17),Datos!Q17," - ")</f>
        <v>37</v>
      </c>
      <c r="D17" s="408">
        <f>IF(ISNUMBER(Datos!R17),Datos!R17," - ")</f>
        <v>29</v>
      </c>
    </row>
    <row r="18" spans="1:4" ht="14.25" thickTop="1" thickBot="1">
      <c r="A18" s="848" t="str">
        <f>Datos!A18</f>
        <v>TOTAL</v>
      </c>
      <c r="B18" s="849">
        <f>SUBTOTAL(9,B15:B17)</f>
        <v>379</v>
      </c>
      <c r="C18" s="853">
        <f>SUBTOTAL(9,C15:C17)</f>
        <v>378</v>
      </c>
      <c r="D18" s="851">
        <f>SUBTOTAL(9,D15:D17)</f>
        <v>414</v>
      </c>
    </row>
    <row r="19" spans="1:4" ht="16.5" customHeight="1" thickTop="1" thickBot="1">
      <c r="A19" s="793" t="str">
        <f>Datos!A19</f>
        <v>TOTAL JURISDICCIONES</v>
      </c>
      <c r="B19" s="798">
        <f>SUBTOTAL(9,B8:B18)</f>
        <v>2356</v>
      </c>
      <c r="C19" s="799">
        <f>SUBTOTAL(9,C8:C18)</f>
        <v>2210</v>
      </c>
      <c r="D19" s="800">
        <f>SUBTOTAL(9,D8:D18)</f>
        <v>8052</v>
      </c>
    </row>
    <row r="20" spans="1:4" ht="7.5" customHeight="1"/>
    <row r="21" spans="1:4" ht="6" customHeight="1"/>
    <row r="22" spans="1:4">
      <c r="A22" s="391" t="str">
        <f>Criterios!A4</f>
        <v>Fecha Informe: 28 feb. 2025</v>
      </c>
    </row>
    <row r="27" spans="1:4">
      <c r="A27" s="414"/>
    </row>
  </sheetData>
  <sheetProtection algorithmName="SHA-512" hashValue="WNlKQy2Nuuw4J3R6n0Nzj9FZU0FX3bsZILtyC6T4frgl/x3h4dInPkF8Qspg7x+PRxZFadYgiYTa+hZ10XGBzw==" saltValue="rjmvMdbCcl1iykaT3Y+x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ARRECIFE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0.20087419232231091</v>
      </c>
      <c r="C9" s="456">
        <f>IF(ISNUMBER(
   IF(J_V="SI",(Datos!J9-Datos!T9)/Datos!T9,(Datos!J9+Datos!Z9-(Datos!T9+Datos!AH9))/(Datos!T9+Datos!AH9))
     ),IF(J_V="SI",(Datos!J9-Datos!T9)/Datos!T9,(Datos!J9+Datos!Z9-(Datos!T9+Datos!AH9))/(Datos!T9+Datos!AH9))," - ")</f>
        <v>0.24066924066924067</v>
      </c>
      <c r="D9" s="456">
        <f>IF(ISNUMBER(
   IF(J_V="SI",(Datos!K9-Datos!U9)/Datos!U9,(Datos!K9+Datos!AA9-(Datos!U9+Datos!AI9))/(Datos!U9+Datos!AI9))
     ),IF(J_V="SI",(Datos!K9-Datos!U9)/Datos!U9,(Datos!K9+Datos!AA9-(Datos!U9+Datos!AI9))/(Datos!U9+Datos!AI9))," - ")</f>
        <v>0.29852579852579852</v>
      </c>
      <c r="E9" s="456">
        <f>IF(ISNUMBER(
   IF(J_V="SI",(Datos!L9-Datos!V9)/Datos!V9,(Datos!L9+Datos!AB9-(Datos!V9+Datos!AJ9))/(Datos!V9+Datos!AJ9))
     ),IF(J_V="SI",(Datos!L9-Datos!V9)/Datos!V9,(Datos!L9+Datos!AB9-(Datos!V9+Datos!AJ9))/(Datos!V9+Datos!AJ9))," - ")</f>
        <v>0.1152081025478715</v>
      </c>
      <c r="F9" s="456">
        <f>IF(ISNUMBER((Datos!M9-Datos!W9)/Datos!W9),(Datos!M9-Datos!W9)/Datos!W9," - ")</f>
        <v>0.70621152770005591</v>
      </c>
      <c r="G9" s="457">
        <f>IF(ISNUMBER((Datos!N9-Datos!X9)/Datos!X9),(Datos!N9-Datos!X9)/Datos!X9," - ")</f>
        <v>0.29228371005455961</v>
      </c>
      <c r="H9" s="455">
        <f>IF(ISNUMBER(((NºAsuntos!G9/NºAsuntos!E9)-Datos!BD9)/Datos!BD9),((NºAsuntos!G9/NºAsuntos!E9)-Datos!BD9)/Datos!BD9," - ")</f>
        <v>4.6633345907204783E-2</v>
      </c>
      <c r="I9" s="456">
        <f>IF(ISNUMBER(((NºAsuntos!I9/NºAsuntos!G9)-Datos!BE9)/Datos!BE9),((NºAsuntos!I9/NºAsuntos!G9)-Datos!BE9)/Datos!BE9," - ")</f>
        <v>-0.14117370343049437</v>
      </c>
      <c r="J9" s="461">
        <f>IF(ISNUMBER((('Resol  Asuntos'!D9/NºAsuntos!G9)-Datos!BF9)/Datos!BF9),(('Resol  Asuntos'!D9/NºAsuntos!G9)-Datos!BF9)/Datos!BF9," - ")</f>
        <v>-0.63397547877011873</v>
      </c>
      <c r="K9" s="462">
        <f>IF(ISNUMBER((((NºAsuntos!C9+NºAsuntos!E9)/NºAsuntos!G9)-Datos!BG9)/Datos!BG9),(((NºAsuntos!C9+NºAsuntos!E9)/NºAsuntos!G9)-Datos!BG9)/Datos!BG9," - ")</f>
        <v>-5.4088051580679204E-2</v>
      </c>
    </row>
    <row r="10" spans="1:11">
      <c r="A10" s="402" t="str">
        <f>Datos!A10</f>
        <v>Jdos. Violencia contra la mujer</v>
      </c>
      <c r="B10" s="455">
        <f>IF(ISNUMBER((Datos!I10-Datos!S10)/Datos!S10),(Datos!I10-Datos!S10)/Datos!S10," - ")</f>
        <v>-0.54545454545454541</v>
      </c>
      <c r="C10" s="456">
        <f>IF(ISNUMBER((Datos!J10-Datos!T10)/Datos!T10),(Datos!J10-Datos!T10)/Datos!T10," - ")</f>
        <v>0.29591836734693877</v>
      </c>
      <c r="D10" s="456">
        <f>IF(ISNUMBER((Datos!K10-Datos!U10)/Datos!U10),(Datos!K10-Datos!U10)/Datos!U10," - ")</f>
        <v>8.6538461538461536E-2</v>
      </c>
      <c r="E10" s="456">
        <f>IF(ISNUMBER((Datos!L10-Datos!V10)/Datos!V10),(Datos!L10-Datos!V10)/Datos!V10," - ")</f>
        <v>2.8</v>
      </c>
      <c r="F10" s="456">
        <f>IF(ISNUMBER((Datos!M10-Datos!W10)/Datos!W10),(Datos!M10-Datos!W10)/Datos!W10," - ")</f>
        <v>0.35</v>
      </c>
      <c r="G10" s="457">
        <f>IF(ISNUMBER((Datos!N10-Datos!X10)/Datos!X10),(Datos!N10-Datos!X10)/Datos!X10," - ")</f>
        <v>-0.24561403508771928</v>
      </c>
      <c r="H10" s="455">
        <f>IF(ISNUMBER(((NºAsuntos!G10/NºAsuntos!E10)-Datos!BD10)/Datos!BD10),((NºAsuntos!G10/NºAsuntos!E10)-Datos!BD10)/Datos!BD10," - ")</f>
        <v>-0.16156874621441558</v>
      </c>
      <c r="I10" s="456">
        <f>IF(ISNUMBER(((NºAsuntos!I10/NºAsuntos!G10)-Datos!BE10)/Datos!BE10),((NºAsuntos!I10/NºAsuntos!G10)-Datos!BE10)/Datos!BE10," - ")</f>
        <v>2.4973451327433631</v>
      </c>
      <c r="J10" s="461">
        <f>IF(ISNUMBER((('Resol  Asuntos'!D10/NºAsuntos!G10)-Datos!BF10)/Datos!BF10),(('Resol  Asuntos'!D10/NºAsuntos!G10)-Datos!BF10)/Datos!BF10," - ")</f>
        <v>0.24247787610619467</v>
      </c>
      <c r="K10" s="462">
        <f>IF(ISNUMBER((((NºAsuntos!C10+NºAsuntos!E10)/NºAsuntos!G10)-Datos!BG10)/Datos!BG10),(((NºAsuntos!C10+NºAsuntos!E10)/NºAsuntos!G10)-Datos!BG10)/Datos!BG10," - ")</f>
        <v>0.11455711618088818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f>IF(ISNUMBER(
   IF(J_V="SI",(Datos!J12-Datos!T12)/Datos!T12,(Datos!J12+Datos!Z12-(Datos!T12+Datos!AH12))/(Datos!T12+Datos!AH12))
     ),IF(J_V="SI",(Datos!J12-Datos!T12)/Datos!T12,(Datos!J12+Datos!Z12-(Datos!T12+Datos!AH12))/(Datos!T12+Datos!AH12))," - ")</f>
        <v>-0.4</v>
      </c>
      <c r="D12" s="456">
        <f>IF(ISNUMBER(
   IF(J_V="SI",(Datos!K12-Datos!U12)/Datos!U12,(Datos!K12+Datos!AA12-(Datos!U12+Datos!AI12))/(Datos!U12+Datos!AI12))
     ),IF(J_V="SI",(Datos!K12-Datos!U12)/Datos!U12,(Datos!K12+Datos!AA12-(Datos!U12+Datos!AI12))/(Datos!U12+Datos!AI12))," - ")</f>
        <v>-0.5</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f>IF(ISNUMBER((Datos!N12-Datos!X12)/Datos!X12),(Datos!N12-Datos!X12)/Datos!X12," - ")</f>
        <v>-0.5</v>
      </c>
      <c r="H12" s="455">
        <f>IF(ISNUMBER(((NºAsuntos!G12/NºAsuntos!E12)-Datos!BD12)/Datos!BD12),((NºAsuntos!G12/NºAsuntos!E12)-Datos!BD12)/Datos!BD12," - ")</f>
        <v>-0.16666666666666663</v>
      </c>
      <c r="I12" s="456" t="str">
        <f>IF(ISNUMBER(((NºAsuntos!I12/NºAsuntos!G12)-Datos!BE12)/Datos!BE12),((NºAsuntos!I12/NºAsuntos!G12)-Datos!BE12)/Datos!BE12," - ")</f>
        <v xml:space="preserve"> - </v>
      </c>
      <c r="J12" s="461">
        <f>IF(ISNUMBER((('Resol  Asuntos'!D12/NºAsuntos!G12)-Datos!BF12)/Datos!BF12),(('Resol  Asuntos'!D12/NºAsuntos!G12)-Datos!BF12)/Datos!BF12," - ")</f>
        <v>-1</v>
      </c>
      <c r="K12" s="462">
        <f>IF(ISNUMBER((((NºAsuntos!C12+NºAsuntos!E12)/NºAsuntos!G12)-Datos!BG12)/Datos!BG12),(((NºAsuntos!C12+NºAsuntos!E12)/NºAsuntos!G12)-Datos!BG12)/Datos!BG12," - ")</f>
        <v>0</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0.19908987485779295</v>
      </c>
      <c r="C13" s="855">
        <f>IF(ISNUMBER(
   IF(J_V="SI",(Datos!J13-Datos!T13)/Datos!T13,(Datos!J13+Datos!Z13-(Datos!T13+Datos!AH13))/(Datos!T13+Datos!AH13))
     ),IF(J_V="SI",(Datos!J13-Datos!T13)/Datos!T13,(Datos!J13+Datos!Z13-(Datos!T13+Datos!AH13))/(Datos!T13+Datos!AH13))," - ")</f>
        <v>0.2408572886545331</v>
      </c>
      <c r="D13" s="855">
        <f>IF(ISNUMBER(
   IF(J_V="SI",(Datos!K13-Datos!U13)/Datos!U13,(Datos!K13+Datos!AA13-(Datos!U13+Datos!AI13))/(Datos!U13+Datos!AI13))
     ),IF(J_V="SI",(Datos!K13-Datos!U13)/Datos!U13,(Datos!K13+Datos!AA13-(Datos!U13+Datos!AI13))/(Datos!U13+Datos!AI13))," - ")</f>
        <v>0.29601571268237936</v>
      </c>
      <c r="E13" s="855">
        <f>IF(ISNUMBER(
   IF(J_V="SI",(Datos!L13-Datos!V13)/Datos!V13,(Datos!L13+Datos!AB13-(Datos!V13+Datos!AJ13))/(Datos!V13+Datos!AJ13))
     ),IF(J_V="SI",(Datos!L13-Datos!V13)/Datos!V13,(Datos!L13+Datos!AB13-(Datos!V13+Datos!AJ13))/(Datos!V13+Datos!AJ13))," - ")</f>
        <v>0.11733080328905755</v>
      </c>
      <c r="F13" s="856">
        <f>IF(ISNUMBER((Datos!M13-Datos!W13)/Datos!W13),(Datos!M13-Datos!W13)/Datos!W13," - ")</f>
        <v>0.69841269841269837</v>
      </c>
      <c r="G13" s="857">
        <f>IF(ISNUMBER((Datos!N13-Datos!X13)/Datos!X13),(Datos!N13-Datos!X13)/Datos!X13," - ")</f>
        <v>0.28681691880209942</v>
      </c>
      <c r="H13" s="857">
        <f>IF(ISNUMBER(((NºAsuntos!G13/NºAsuntos!E13)-Datos!BD13)/Datos!BD13),((NºAsuntos!G13/NºAsuntos!E13)-Datos!BD13)/Datos!BD13," - ")</f>
        <v>4.4451867698383683E-2</v>
      </c>
      <c r="I13" s="857">
        <f>IF(ISNUMBER(((NºAsuntos!I13/NºAsuntos!G13)-Datos!BE13)/Datos!BE13),((NºAsuntos!I13/NºAsuntos!G13)-Datos!BE13)/Datos!BE13," - ")</f>
        <v>-0.13787248691877005</v>
      </c>
      <c r="J13" s="857">
        <f>IF(ISNUMBER((('Resol  Asuntos'!D13/NºAsuntos!G13)-Datos!BF13)/Datos!BF13),(('Resol  Asuntos'!D13/NºAsuntos!G13)-Datos!BF13)/Datos!BF13," - ")</f>
        <v>-0.62942871142621715</v>
      </c>
      <c r="K13" s="857">
        <f>IF(ISNUMBER((((NºAsuntos!C13+NºAsuntos!E13)/NºAsuntos!G13)-Datos!BG13)/Datos!BG13),(((NºAsuntos!C13+NºAsuntos!E13)/NºAsuntos!G13)-Datos!BG13)/Datos!BG13," - ")</f>
        <v>-5.253933581055887E-2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0.23448726322664926</v>
      </c>
      <c r="C15" s="456">
        <f>IF(ISNUMBER(
   IF(D_I="SI",(Datos!J15-Datos!T15)/Datos!T15,(Datos!J15+Datos!AD15-(Datos!T15+Datos!AL15))/(Datos!T15+Datos!AL15))
     ),IF(D_I="SI",(Datos!J15-Datos!T15)/Datos!T15,(Datos!J15+Datos!AD15-(Datos!T15+Datos!AL15))/(Datos!T15+Datos!AL15))," - ")</f>
        <v>9.1854913418370987E-2</v>
      </c>
      <c r="D15" s="456">
        <f>IF(ISNUMBER(
   IF(D_I="SI",(Datos!K15-Datos!U15)/Datos!U15,(Datos!K15+Datos!AE15-(Datos!U15+Datos!AM15))/(Datos!U15+Datos!AM15))
     ),IF(D_I="SI",(Datos!K15-Datos!U15)/Datos!U15,(Datos!K15+Datos!AE15-(Datos!U15+Datos!AM15))/(Datos!U15+Datos!AM15))," - ")</f>
        <v>9.056603773584905E-2</v>
      </c>
      <c r="E15" s="456">
        <f>IF(ISNUMBER(
   IF(D_I="SI",(Datos!L15-Datos!V15)/Datos!V15,(Datos!L15+Datos!AF15-(Datos!V15+Datos!AN15))/(Datos!V15+Datos!AN15))
     ),IF(D_I="SI",(Datos!L15-Datos!V15)/Datos!V15,(Datos!L15+Datos!AF15-(Datos!V15+Datos!AN15))/(Datos!V15+Datos!AN15))," - ")</f>
        <v>0.16560846560846562</v>
      </c>
      <c r="F15" s="456">
        <f>IF(ISNUMBER((Datos!M15-Datos!W15)/Datos!W15),(Datos!M15-Datos!W15)/Datos!W15," - ")</f>
        <v>0.17834394904458598</v>
      </c>
      <c r="G15" s="457">
        <f>IF(ISNUMBER((Datos!N15-Datos!X15)/Datos!X15),(Datos!N15-Datos!X15)/Datos!X15," - ")</f>
        <v>6.0312276762934991E-2</v>
      </c>
      <c r="H15" s="455">
        <f>IF(ISNUMBER(((NºAsuntos!G15/NºAsuntos!E15)-Datos!BD15)/Datos!BD15),((NºAsuntos!G15/NºAsuntos!E15)-Datos!BD15)/Datos!BD15," - ")</f>
        <v>-1.1804459243461272E-3</v>
      </c>
      <c r="I15" s="456">
        <f>IF(ISNUMBER(((NºAsuntos!I15/NºAsuntos!G15)-Datos!BE15)/Datos!BE15),((NºAsuntos!I15/NºAsuntos!G15)-Datos!BE15)/Datos!BE15," - ")</f>
        <v>6.8810530748247056E-2</v>
      </c>
      <c r="J15" s="461">
        <f>IF(ISNUMBER((('Resol  Asuntos'!D15/NºAsuntos!G15)-Datos!BF15)/Datos!BF15),(('Resol  Asuntos'!D15/NºAsuntos!G15)-Datos!BF15)/Datos!BF15," - ")</f>
        <v>8.0488396182751915E-2</v>
      </c>
      <c r="K15" s="462">
        <f>IF(ISNUMBER((((NºAsuntos!C15+NºAsuntos!E15)/NºAsuntos!G15)-Datos!BG15)/Datos!BG15),(((NºAsuntos!C15+NºAsuntos!E15)/NºAsuntos!G15)-Datos!BG15)/Datos!BG15," - ")</f>
        <v>1.4047144550595437E-2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-0.1388888888888889</v>
      </c>
      <c r="C17" s="456">
        <f>IF(ISNUMBER(
   IF(D_I="SI",(Datos!J17-Datos!T17)/Datos!T17,(Datos!J17+Datos!AD17-(Datos!T17+Datos!AL17))/(Datos!T17+Datos!AL17))
     ),IF(D_I="SI",(Datos!J17-Datos!T17)/Datos!T17,(Datos!J17+Datos!AD17-(Datos!T17+Datos!AL17))/(Datos!T17+Datos!AL17))," - ")</f>
        <v>0.16586921850079744</v>
      </c>
      <c r="D17" s="456">
        <f>IF(ISNUMBER(
   IF(D_I="SI",(Datos!K17-Datos!U17)/Datos!U17,(Datos!K17+Datos!AE17-(Datos!U17+Datos!AM17))/(Datos!U17+Datos!AM17))
     ),IF(D_I="SI",(Datos!K17-Datos!U17)/Datos!U17,(Datos!K17+Datos!AE17-(Datos!U17+Datos!AM17))/(Datos!U17+Datos!AM17))," - ")</f>
        <v>0.13384615384615384</v>
      </c>
      <c r="E17" s="456">
        <f>IF(ISNUMBER(
   IF(D_I="SI",(Datos!L17-Datos!V17)/Datos!V17,(Datos!L17+Datos!AF17-(Datos!V17+Datos!AN17))/(Datos!V17+Datos!AN17))
     ),IF(D_I="SI",(Datos!L17-Datos!V17)/Datos!V17,(Datos!L17+Datos!AF17-(Datos!V17+Datos!AN17))/(Datos!V17+Datos!AN17))," - ")</f>
        <v>-2.1505376344086023E-2</v>
      </c>
      <c r="F17" s="456">
        <f>IF(ISNUMBER((Datos!M17-Datos!W17)/Datos!W17),(Datos!M17-Datos!W17)/Datos!W17," - ")</f>
        <v>0.27659574468085107</v>
      </c>
      <c r="G17" s="457">
        <f>IF(ISNUMBER((Datos!N17-Datos!X17)/Datos!X17),(Datos!N17-Datos!X17)/Datos!X17," - ")</f>
        <v>-4.5180722891566265E-2</v>
      </c>
      <c r="H17" s="455">
        <f>IF(ISNUMBER(((NºAsuntos!G17/NºAsuntos!E17)-Datos!BD17)/Datos!BD17),((NºAsuntos!G17/NºAsuntos!E17)-Datos!BD17)/Datos!BD17," - ")</f>
        <v>-2.7467115647690114E-2</v>
      </c>
      <c r="I17" s="456">
        <f>IF(ISNUMBER(((NºAsuntos!I17/NºAsuntos!G17)-Datos!BE17)/Datos!BE17),((NºAsuntos!I17/NºAsuntos!G17)-Datos!BE17)/Datos!BE17," - ")</f>
        <v>-0.1370128828000759</v>
      </c>
      <c r="J17" s="461">
        <f>IF(ISNUMBER((('Resol  Asuntos'!D17/NºAsuntos!G17)-Datos!BF17)/Datos!BF17),(('Resol  Asuntos'!D17/NºAsuntos!G17)-Datos!BF17)/Datos!BF17," - ")</f>
        <v>0.1258985536533965</v>
      </c>
      <c r="K17" s="462">
        <f>IF(ISNUMBER((((NºAsuntos!C17+NºAsuntos!E17)/NºAsuntos!G17)-Datos!BG17)/Datos!BG17),(((NºAsuntos!C17+NºAsuntos!E17)/NºAsuntos!G17)-Datos!BG17)/Datos!BG17," - ")</f>
        <v>-1.1251719140844907E-2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0.20914634146341463</v>
      </c>
      <c r="C18" s="855">
        <f>IF(ISNUMBER(
   IF(Criterios!B14="SI",(Datos!J18-Datos!T18)/Datos!T18,(Datos!J18+Datos!AD18-(Datos!T18+Datos!AL18))/(Datos!T18+Datos!AL18))
     ),IF(Criterios!B14="SI",(Datos!J18-Datos!T18)/Datos!T18,(Datos!J18+Datos!AD18-(Datos!T18+Datos!AL18))/(Datos!T18+Datos!AL18))," - ")</f>
        <v>9.5020463847203279E-2</v>
      </c>
      <c r="D18" s="855">
        <f>IF(ISNUMBER(
   IF(Criterios!B14="SI",(Datos!K18-Datos!U18)/Datos!U18,(Datos!K18+Datos!AE18-(Datos!U18+Datos!AM18))/(Datos!U18+Datos!AM18))
     ),IF(Criterios!B14="SI",(Datos!K18-Datos!U18)/Datos!U18,(Datos!K18+Datos!AE18-(Datos!U18+Datos!AM18))/(Datos!U18+Datos!AM18))," - ")</f>
        <v>9.2515592515592521E-2</v>
      </c>
      <c r="E18" s="855">
        <f>IF(ISNUMBER(
   IF(Criterios!B14="SI",(Datos!L18-Datos!V18)/Datos!V18,(Datos!L18+Datos!AF18-(Datos!V18+Datos!AN18))/(Datos!V18+Datos!AN18))
     ),IF(Criterios!B14="SI",(Datos!L18-Datos!V18)/Datos!V18,(Datos!L18+Datos!AF18-(Datos!V18+Datos!AN18))/(Datos!V18+Datos!AN18))," - ")</f>
        <v>0.15683308119011599</v>
      </c>
      <c r="F18" s="856">
        <f>IF(ISNUMBER((Datos!M18-Datos!W18)/Datos!W18),(Datos!M18-Datos!W18)/Datos!W18," - ")</f>
        <v>0.18885096700796358</v>
      </c>
      <c r="G18" s="857">
        <f>IF(ISNUMBER((Datos!N18-Datos!X18)/Datos!X18),(Datos!N18-Datos!X18)/Datos!X18," - ")</f>
        <v>5.68551969203435E-2</v>
      </c>
      <c r="H18" s="857">
        <f>IF(ISNUMBER(((NºAsuntos!G18/NºAsuntos!E18)-Datos!BD18)/Datos!BD18),((NºAsuntos!G18/NºAsuntos!E18)-Datos!BD18)/Datos!BD18," - ")</f>
        <v>-2.2875109774755415E-3</v>
      </c>
      <c r="I18" s="857">
        <f>IF(ISNUMBER(((NºAsuntos!I18/NºAsuntos!G18)-Datos!BE18)/Datos!BE18),((NºAsuntos!I18/NºAsuntos!G18)-Datos!BE18)/Datos!BE18," - ")</f>
        <v>5.8871002954225954E-2</v>
      </c>
      <c r="J18" s="857">
        <f>IF(ISNUMBER((('Resol  Asuntos'!D18/NºAsuntos!G18)-Datos!BF18)/Datos!BF18),(('Resol  Asuntos'!D18/NºAsuntos!G18)-Datos!BF18)/Datos!BF18," - ")</f>
        <v>8.8177573988259761E-2</v>
      </c>
      <c r="K18" s="857">
        <f>IF(ISNUMBER((((NºAsuntos!C18+NºAsuntos!E18)/NºAsuntos!G18)-Datos!BG18)/Datos!BG18),(((NºAsuntos!C18+NºAsuntos!E18)/NºAsuntos!G18)-Datos!BG18)/Datos!BG18," - ")</f>
        <v>1.2802998021165917E-2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0.20147526757304021</v>
      </c>
      <c r="C19" s="802">
        <f>IF(ISNUMBER(
   IF(J_V="SI",(Datos!J19-Datos!T19)/Datos!T19,(Datos!J19+Datos!Z19-(Datos!T19+Datos!AH19))/(Datos!T19+Datos!AH19))
     ),IF(J_V="SI",(Datos!J19-Datos!T19)/Datos!T19,(Datos!J19+Datos!Z19-(Datos!T19+Datos!AH19))/(Datos!T19+Datos!AH19))," - ")</f>
        <v>0.15992883639942462</v>
      </c>
      <c r="D19" s="802">
        <f>IF(ISNUMBER(
   IF(J_V="SI",(Datos!K19-Datos!U19)/Datos!U19,(Datos!K19+Datos!AA19-(Datos!U19+Datos!AI19))/(Datos!U19+Datos!AI19))
     ),IF(J_V="SI",(Datos!K19-Datos!U19)/Datos!U19,(Datos!K19+Datos!AA19-(Datos!U19+Datos!AI19))/(Datos!U19+Datos!AI19))," - ")</f>
        <v>0.17912586577501791</v>
      </c>
      <c r="E19" s="802">
        <f>IF(ISNUMBER(
   IF(J_V="SI",(Datos!L19-Datos!V19)/Datos!V19,(Datos!L19+Datos!AB19-(Datos!V19+Datos!AJ19))/(Datos!V19+Datos!AJ19))
     ),IF(J_V="SI",(Datos!L19-Datos!V19)/Datos!V19,(Datos!L19+Datos!AB19-(Datos!V19+Datos!AJ19))/(Datos!V19+Datos!AJ19))," - ")</f>
        <v>0.12676056338028169</v>
      </c>
      <c r="F19" s="803">
        <f>IF(ISNUMBER((Datos!M19-Datos!W19)/Datos!W19),(Datos!M19-Datos!W19)/Datos!W19," - ")</f>
        <v>0.4485355648535565</v>
      </c>
      <c r="G19" s="804">
        <f>IF(ISNUMBER((Datos!N19-Datos!X19)/Datos!X19),(Datos!N19-Datos!X19)/Datos!X19," - ")</f>
        <v>0.14654705280269734</v>
      </c>
      <c r="H19" s="805">
        <f>IF(ISNUMBER((Tasas!B19-Datos!BD19)/Datos!BD19),(Tasas!B19-Datos!BD19)/Datos!BD19," - ")</f>
        <v>1.655017857404378E-2</v>
      </c>
      <c r="I19" s="806">
        <f>IF(ISNUMBER((Tasas!C19-Datos!BE19)/Datos!BE19),(Tasas!C19-Datos!BE19)/Datos!BE19," - ")</f>
        <v>-4.4410273673639977E-2</v>
      </c>
      <c r="J19" s="807">
        <f>IF(ISNUMBER((Tasas!D19-Datos!BF19)/Datos!BF19),(Tasas!D19-Datos!BF19)/Datos!BF19," - ")</f>
        <v>-0.46415500841691826</v>
      </c>
      <c r="K19" s="807">
        <f>IF(ISNUMBER((Tasas!E19-Datos!BG19)/Datos!BG19),(Tasas!E19-Datos!BG19)/Datos!BG19," - ")</f>
        <v>-8.9720056292629542E-3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NMkFrAu814ZJRp/a2jCYgewdXh5G1NQq41HHL+1p67YnzXtJVmmj5xiUX3PPm2iRrsmaXYgZYjviZmEbe3dvw==" saltValue="FBM8O0qosWhJc5X40YFyg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ARRECIFE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0.95027662517289069</v>
      </c>
      <c r="C9" s="443">
        <f>IF(ISNUMBER(NºAsuntos!I9/NºAsuntos!G9),NºAsuntos!I9/NºAsuntos!G9," - ")</f>
        <v>0.51284477112291682</v>
      </c>
      <c r="D9" s="444">
        <f>IF(ISNUMBER('Resol  Asuntos'!D9/NºAsuntos!G9),'Resol  Asuntos'!D9/NºAsuntos!G9," - ")</f>
        <v>0.2218906920893676</v>
      </c>
      <c r="E9" s="445">
        <f>IF(ISNUMBER((NºAsuntos!C9+NºAsuntos!E9)/NºAsuntos!G9),(NºAsuntos!C9+NºAsuntos!E9)/NºAsuntos!G9," - ")</f>
        <v>1.5121897969580089</v>
      </c>
      <c r="G9" s="463"/>
    </row>
    <row r="10" spans="1:7">
      <c r="A10" s="402" t="str">
        <f>Datos!A10</f>
        <v>Jdos. Violencia contra la mujer</v>
      </c>
      <c r="B10" s="442">
        <f>IF(ISNUMBER(NºAsuntos!G10/NºAsuntos!E10),NºAsuntos!G10/NºAsuntos!E10," - ")</f>
        <v>0.88976377952755903</v>
      </c>
      <c r="C10" s="443">
        <f>IF(ISNUMBER(NºAsuntos!I10/NºAsuntos!G10),NºAsuntos!I10/NºAsuntos!G10," - ")</f>
        <v>0.16814159292035399</v>
      </c>
      <c r="D10" s="444">
        <f>IF(ISNUMBER('Resol  Asuntos'!D10/NºAsuntos!G10),'Resol  Asuntos'!D10/NºAsuntos!G10," - ")</f>
        <v>0.47787610619469029</v>
      </c>
      <c r="E10" s="445">
        <f>IF(ISNUMBER((NºAsuntos!C10+NºAsuntos!E10)/NºAsuntos!G10),(NºAsuntos!C10+NºAsuntos!E10)/NºAsuntos!G10," - ")</f>
        <v>1.168141592920354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0</v>
      </c>
      <c r="D12" s="444">
        <f>IF(ISNUMBER('Resol  Asuntos'!D12/NºAsuntos!G12),'Resol  Asuntos'!D12/NºAsuntos!G12," - ")</f>
        <v>0</v>
      </c>
      <c r="E12" s="445">
        <f>IF(ISNUMBER((NºAsuntos!C12+NºAsuntos!E12)/NºAsuntos!G12),(NºAsuntos!C12+NºAsuntos!E12)/NºAsuntos!G12," - ")</f>
        <v>1</v>
      </c>
      <c r="G12" s="463"/>
    </row>
    <row r="13" spans="1:7" ht="14.25" thickTop="1" thickBot="1">
      <c r="A13" s="848" t="str">
        <f>Datos!A13</f>
        <v>TOTAL</v>
      </c>
      <c r="B13" s="858">
        <f>IF(ISNUMBER(NºAsuntos!G13/NºAsuntos!E13),NºAsuntos!G13/NºAsuntos!E13," - ")</f>
        <v>0.94976010966415358</v>
      </c>
      <c r="C13" s="859">
        <f>IF(ISNUMBER(NºAsuntos!I13/NºAsuntos!G13),NºAsuntos!I13/NºAsuntos!G13," - ")</f>
        <v>0.50992278270910008</v>
      </c>
      <c r="D13" s="860">
        <f>IF(ISNUMBER('Resol  Asuntos'!D13/NºAsuntos!G13),'Resol  Asuntos'!D13/NºAsuntos!G13," - ")</f>
        <v>0.22393014360972793</v>
      </c>
      <c r="E13" s="861">
        <f>IF(ISNUMBER((NºAsuntos!C13+NºAsuntos!E13)/NºAsuntos!G13),(NºAsuntos!C13+NºAsuntos!E13)/NºAsuntos!G13," - ")</f>
        <v>1.5092732914772318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0.98081190445111599</v>
      </c>
      <c r="C15" s="443">
        <f>IF(ISNUMBER(NºAsuntos!I15/NºAsuntos!G15),NºAsuntos!I15/NºAsuntos!G15," - ")</f>
        <v>0.14659302635081181</v>
      </c>
      <c r="D15" s="444">
        <f>IF(ISNUMBER('Resol  Asuntos'!D15/NºAsuntos!G15),'Resol  Asuntos'!D15/NºAsuntos!G15," - ")</f>
        <v>0.12310354005855736</v>
      </c>
      <c r="E15" s="445">
        <f>IF(ISNUMBER((NºAsuntos!C15+NºAsuntos!E15)/NºAsuntos!G15),(NºAsuntos!C15+NºAsuntos!E15)/NºAsuntos!G15," - ")</f>
        <v>1.1453287197231834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1.0082079343365253</v>
      </c>
      <c r="C17" s="443">
        <f>IF(ISNUMBER(NºAsuntos!I17/NºAsuntos!G17),NºAsuntos!I17/NºAsuntos!G17," - ")</f>
        <v>0.12347354138398914</v>
      </c>
      <c r="D17" s="444">
        <f>IF(ISNUMBER('Resol  Asuntos'!D17/NºAsuntos!G17),'Resol  Asuntos'!D17/NºAsuntos!G17," - ")</f>
        <v>0.32564450474898238</v>
      </c>
      <c r="E17" s="445">
        <f>IF(ISNUMBER((NºAsuntos!C17+NºAsuntos!E17)/NºAsuntos!G17),(NºAsuntos!C17+NºAsuntos!E17)/NºAsuntos!G17," - ")</f>
        <v>1.1180461329715061</v>
      </c>
      <c r="G17" s="463"/>
    </row>
    <row r="18" spans="1:7" ht="14.25" thickTop="1" thickBot="1">
      <c r="A18" s="848" t="str">
        <f>Datos!A18</f>
        <v>TOTAL</v>
      </c>
      <c r="B18" s="858">
        <f>IF(ISNUMBER(NºAsuntos!G18/NºAsuntos!E18),NºAsuntos!G18/NºAsuntos!E18," - ")</f>
        <v>0.98205942814427205</v>
      </c>
      <c r="C18" s="859">
        <f>IF(ISNUMBER(NºAsuntos!I18/NºAsuntos!G18),NºAsuntos!I18/NºAsuntos!G18," - ")</f>
        <v>0.14551221059308594</v>
      </c>
      <c r="D18" s="862">
        <f>IF(ISNUMBER('Resol  Asuntos'!D18/NºAsuntos!G18),'Resol  Asuntos'!D18/NºAsuntos!G18," - ")</f>
        <v>0.13257215350459881</v>
      </c>
      <c r="E18" s="861">
        <f>IF(ISNUMBER((NºAsuntos!C18+NºAsuntos!E18)/NºAsuntos!G18),(NºAsuntos!C18+NºAsuntos!E18)/NºAsuntos!G18," - ")</f>
        <v>1.1440532825880114</v>
      </c>
      <c r="G18" s="463"/>
    </row>
    <row r="19" spans="1:7" ht="15.75" customHeight="1" thickTop="1" thickBot="1">
      <c r="A19" s="793" t="str">
        <f>Datos!A19</f>
        <v>TOTAL JURISDICCIONES</v>
      </c>
      <c r="B19" s="808">
        <f>IF(ISNUMBER(NºAsuntos!G19/NºAsuntos!E19),NºAsuntos!G19/NºAsuntos!E19," - ")</f>
        <v>0.9666808080148811</v>
      </c>
      <c r="C19" s="809">
        <f>IF(ISNUMBER(NºAsuntos!I19/NºAsuntos!G19),NºAsuntos!I19/NºAsuntos!G19," - ")</f>
        <v>0.31598136520153941</v>
      </c>
      <c r="D19" s="810">
        <f>IF(ISNUMBER('Resol  Asuntos'!D19/NºAsuntos!G19),'Resol  Asuntos'!D19/NºAsuntos!G19," - ")</f>
        <v>0.17530889203970021</v>
      </c>
      <c r="E19" s="811">
        <f>IF(ISNUMBER((NºAsuntos!C19+NºAsuntos!E19)/NºAsuntos!G19),(NºAsuntos!C19+NºAsuntos!E19)/NºAsuntos!G19," - ")</f>
        <v>1.3149010870299103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Hgikl1RO5CkuKUo6c1gAC8p0FxZrX3XWL7jgCRNLdweK9B7UDQ6x5UrGNFoW+2+v99OXVuEM31giSkynGM8Tw==" saltValue="81391/WtLj6Iy2VQiKcB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ARRECIFE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1950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1443</v>
      </c>
      <c r="Y9" s="334">
        <f>SUM(W9:X9)</f>
        <v>1443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7528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3049</v>
      </c>
      <c r="AJ9" s="229" t="str">
        <f>IF(ISNUMBER(Datos!BW9),Datos!BW9," - ")</f>
        <v xml:space="preserve"> - </v>
      </c>
      <c r="AK9" s="228" t="str">
        <f>IF(ISNUMBER(Datos!BX9),Datos!BX9," - ")</f>
        <v xml:space="preserve"> - </v>
      </c>
      <c r="AL9" s="243">
        <f>IF(ISNUMBER(NºAsuntos!G9/NºAsuntos!E9),NºAsuntos!G9/NºAsuntos!E9," - ")</f>
        <v>0.95027662517289069</v>
      </c>
      <c r="AM9" s="260">
        <f>IF(ISNUMBER(((NºAsuntos!I9/NºAsuntos!G9)*11)/factor_trimestre),((NºAsuntos!I9/NºAsuntos!G9)*11)/factor_trimestre," - ")</f>
        <v>5.6412924823520854</v>
      </c>
      <c r="AN9" s="244">
        <f>IF(ISNUMBER('Resol  Asuntos'!D9/NºAsuntos!G9),'Resol  Asuntos'!D9/NºAsuntos!G9," - ")</f>
        <v>0.2218906920893676</v>
      </c>
      <c r="AO9" s="245">
        <f>IF(ISNUMBER((NºAsuntos!C9+NºAsuntos!E9)/NºAsuntos!G9),(NºAsuntos!C9+NºAsuntos!E9)/NºAsuntos!G9," - ")</f>
        <v>1.5121897969580089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113</v>
      </c>
      <c r="X10" s="226">
        <f>IF(ISNUMBER(Datos!Q10),Datos!Q10," - ")</f>
        <v>7</v>
      </c>
      <c r="Y10" s="334">
        <f t="shared" ref="Y10:Y12" si="0">SUM(W10:X10)</f>
        <v>120</v>
      </c>
      <c r="Z10" s="335" t="str">
        <f>IF(ISNUMBER(Datos!CC10),Datos!CC10," - ")</f>
        <v xml:space="preserve"> - </v>
      </c>
      <c r="AA10" s="332">
        <f>IF(ISNUMBER(Datos!L10),Datos!L10,"-")</f>
        <v>19</v>
      </c>
      <c r="AB10" s="334">
        <f>IF(ISNUMBER(Datos!R10),Datos!R10," - ")</f>
        <v>34</v>
      </c>
      <c r="AC10" s="334">
        <f t="shared" ref="AC10:AC12" si="1">IF(ISNUMBER(AA10+AB10),AA10+AB10," - ")</f>
        <v>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54</v>
      </c>
      <c r="AJ10" s="231" t="str">
        <f>IF(ISNUMBER(Datos!BW10),Datos!BW10," - ")</f>
        <v xml:space="preserve"> - </v>
      </c>
      <c r="AK10" s="232" t="str">
        <f>IF(ISNUMBER(Datos!BX10),Datos!BX10," - ")</f>
        <v xml:space="preserve"> - </v>
      </c>
      <c r="AL10" s="243">
        <f>IF(ISNUMBER(NºAsuntos!G10/NºAsuntos!E10),NºAsuntos!G10/NºAsuntos!E10," - ")</f>
        <v>0.88976377952755903</v>
      </c>
      <c r="AM10" s="260">
        <f>IF(ISNUMBER(((NºAsuntos!I10/NºAsuntos!G10)*11)/factor_trimestre),((NºAsuntos!I10/NºAsuntos!G10)*11)/factor_trimestre," - ")</f>
        <v>1.849557522123894</v>
      </c>
      <c r="AN10" s="244">
        <f>IF(ISNUMBER('Resol  Asuntos'!D10/NºAsuntos!G10),'Resol  Asuntos'!D10/NºAsuntos!G10," - ")</f>
        <v>0.47787610619469029</v>
      </c>
      <c r="AO10" s="245">
        <f>IF(ISNUMBER((NºAsuntos!C10+NºAsuntos!E10)/NºAsuntos!G10),(NºAsuntos!C10+NºAsuntos!E10)/NºAsuntos!G10," - ")</f>
        <v>1.168141592920354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382</v>
      </c>
      <c r="Y12" s="334">
        <f t="shared" si="0"/>
        <v>382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0</v>
      </c>
      <c r="AN12" s="244">
        <f>IF(ISNUMBER('Resol  Asuntos'!D12/NºAsuntos!G12),'Resol  Asuntos'!D12/NºAsuntos!G12," - ")</f>
        <v>0</v>
      </c>
      <c r="AO12" s="245">
        <f>IF(ISNUMBER((NºAsuntos!C12+NºAsuntos!E12)/NºAsuntos!G12),(NºAsuntos!C12+NºAsuntos!E12)/NºAsuntos!G12," - ")</f>
        <v>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v>
      </c>
      <c r="G13" s="866">
        <f t="shared" si="3"/>
        <v>5</v>
      </c>
      <c r="H13" s="865">
        <f t="shared" si="3"/>
        <v>0</v>
      </c>
      <c r="I13" s="867">
        <f t="shared" si="3"/>
        <v>0</v>
      </c>
      <c r="J13" s="867">
        <f t="shared" si="3"/>
        <v>0</v>
      </c>
      <c r="K13" s="867">
        <f t="shared" si="3"/>
        <v>0</v>
      </c>
      <c r="L13" s="867">
        <f t="shared" si="3"/>
        <v>1977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113</v>
      </c>
      <c r="X13" s="867">
        <f t="shared" si="4"/>
        <v>1832</v>
      </c>
      <c r="Y13" s="868">
        <f t="shared" si="4"/>
        <v>1945</v>
      </c>
      <c r="Z13" s="868">
        <f t="shared" si="4"/>
        <v>0</v>
      </c>
      <c r="AA13" s="868">
        <f t="shared" si="4"/>
        <v>19</v>
      </c>
      <c r="AB13" s="868">
        <f t="shared" si="4"/>
        <v>7638</v>
      </c>
      <c r="AC13" s="868">
        <f t="shared" si="4"/>
        <v>53</v>
      </c>
      <c r="AD13" s="868">
        <f t="shared" si="4"/>
        <v>0</v>
      </c>
      <c r="AE13" s="872">
        <f t="shared" si="4"/>
        <v>0</v>
      </c>
      <c r="AF13" s="865">
        <f t="shared" si="4"/>
        <v>0</v>
      </c>
      <c r="AG13" s="873">
        <f t="shared" si="4"/>
        <v>0</v>
      </c>
      <c r="AH13" s="870">
        <f t="shared" si="4"/>
        <v>0</v>
      </c>
      <c r="AI13" s="865">
        <f t="shared" si="4"/>
        <v>3103</v>
      </c>
      <c r="AJ13" s="867">
        <f t="shared" si="4"/>
        <v>0</v>
      </c>
      <c r="AK13" s="870">
        <f>SUBTOTAL(9,AK9:AK12)</f>
        <v>0</v>
      </c>
      <c r="AL13" s="874">
        <f>IF(ISNUMBER(NºAsuntos!G13/NºAsuntos!E13),NºAsuntos!G13/NºAsuntos!E13," - ")</f>
        <v>0.94976010966415358</v>
      </c>
      <c r="AM13" s="874">
        <f>IF(ISNUMBER(((NºAsuntos!I13/NºAsuntos!G13)*11)/factor_trimestre),((NºAsuntos!I13/NºAsuntos!G13)*11)/factor_trimestre," - ")</f>
        <v>5.6091506098001007</v>
      </c>
      <c r="AN13" s="875">
        <f>IF(ISNUMBER('Resol  Asuntos'!D13/NºAsuntos!G13),'Resol  Asuntos'!D13/NºAsuntos!G13," - ")</f>
        <v>0.22393014360972793</v>
      </c>
      <c r="AO13" s="876">
        <f>IF(ISNUMBER((NºAsuntos!C13+NºAsuntos!E13)/NºAsuntos!G13),(NºAsuntos!C13+NºAsuntos!E13)/NºAsuntos!G13," - ")</f>
        <v>1.5092732914772318</v>
      </c>
      <c r="AP13" s="877" t="str">
        <f t="shared" si="2"/>
        <v xml:space="preserve"> - </v>
      </c>
      <c r="AQ13" s="877">
        <f>IF(ISNUMBER((H13-W13+K13)/(F13)),(H13-W13+K13)/(F13)," - ")</f>
        <v>-22.6</v>
      </c>
      <c r="AR13" s="878">
        <f>IF(ISNUMBER((Datos!P13-Datos!Q13)/(Datos!R13-Datos!P13+Datos!Q13)),(Datos!P13-Datos!Q13)/(Datos!R13-Datos!P13+Datos!Q13)," - ")</f>
        <v>1.935139463499266E-2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1909</v>
      </c>
      <c r="G15" s="333">
        <f>IF(ISNUMBER(IF(D_I="SI",Datos!I15,Datos!I15+Datos!AC15)),IF(D_I="SI",Datos!I15,Datos!I15+Datos!AC15)," - ")</f>
        <v>1890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338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15028</v>
      </c>
      <c r="X15" s="226">
        <f>IF(ISNUMBER(Datos!Q15),Datos!Q15," - ")</f>
        <v>341</v>
      </c>
      <c r="Y15" s="334">
        <f>SUM(W15)</f>
        <v>15028</v>
      </c>
      <c r="Z15" s="335" t="str">
        <f>IF(ISNUMBER(Datos!CC15),Datos!CC15," - ")</f>
        <v xml:space="preserve"> - </v>
      </c>
      <c r="AA15" s="332">
        <f>IF(ISNUMBER(IF(D_I="SI",Datos!L15,Datos!L15+Datos!AF15)),IF(D_I="SI",Datos!L15,Datos!L15+Datos!AF15)," - ")</f>
        <v>2203</v>
      </c>
      <c r="AB15" s="334">
        <f>IF(ISNUMBER(Datos!R15),Datos!R15," - ")</f>
        <v>384</v>
      </c>
      <c r="AC15" s="334">
        <f t="shared" ref="AC15:AC17" si="6">IF(ISNUMBER(AA15+AB15),AA15+AB15," - ")</f>
        <v>2587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1850</v>
      </c>
      <c r="AJ15" s="231" t="str">
        <f>IF(ISNUMBER(Datos!BW15),Datos!BW15," - ")</f>
        <v xml:space="preserve"> - </v>
      </c>
      <c r="AK15" s="232" t="str">
        <f>IF(ISNUMBER(Datos!BX15),Datos!BX15," - ")</f>
        <v xml:space="preserve"> - </v>
      </c>
      <c r="AL15" s="243">
        <f>IF(ISNUMBER(NºAsuntos!G15/NºAsuntos!E15),NºAsuntos!G15/NºAsuntos!E15," - ")</f>
        <v>0.98081190445111599</v>
      </c>
      <c r="AM15" s="260">
        <f>IF(ISNUMBER(((NºAsuntos!I15/NºAsuntos!G15)*11)/factor_trimestre),((NºAsuntos!I15/NºAsuntos!G15)*11)/factor_trimestre," - ")</f>
        <v>1.6125232898589299</v>
      </c>
      <c r="AN15" s="244">
        <f>IF(ISNUMBER('Resol  Asuntos'!D15/NºAsuntos!G15),'Resol  Asuntos'!D15/NºAsuntos!G15," - ")</f>
        <v>0.12310354005855736</v>
      </c>
      <c r="AO15" s="245">
        <f>IF(ISNUMBER((NºAsuntos!C15+NºAsuntos!E15)/NºAsuntos!G15),(NºAsuntos!C15+NºAsuntos!E15)/NºAsuntos!G15," - ")</f>
        <v>1.1453287197231834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1</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737</v>
      </c>
      <c r="X17" s="226">
        <f>IF(ISNUMBER(Datos!Q17),Datos!Q17," - ")</f>
        <v>37</v>
      </c>
      <c r="Y17" s="334">
        <f t="shared" si="7"/>
        <v>774</v>
      </c>
      <c r="Z17" s="335" t="str">
        <f>IF(ISNUMBER(Datos!CC17),Datos!CC17," - ")</f>
        <v xml:space="preserve"> - </v>
      </c>
      <c r="AA17" s="332">
        <f>IF(ISNUMBER(Datos!L17),Datos!L17,"-")</f>
        <v>91</v>
      </c>
      <c r="AB17" s="334">
        <f>IF(ISNUMBER(Datos!R17),Datos!R17," - ")</f>
        <v>29</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240</v>
      </c>
      <c r="AJ17" s="231" t="str">
        <f>IF(ISNUMBER(Datos!BW17),Datos!BW17," - ")</f>
        <v xml:space="preserve"> - </v>
      </c>
      <c r="AK17" s="232" t="str">
        <f>IF(ISNUMBER(Datos!BX17),Datos!BX17," - ")</f>
        <v xml:space="preserve"> - </v>
      </c>
      <c r="AL17" s="243">
        <f>IF(ISNUMBER(NºAsuntos!G17/NºAsuntos!E17),NºAsuntos!G17/NºAsuntos!E17," - ")</f>
        <v>1.0082079343365253</v>
      </c>
      <c r="AM17" s="260">
        <f>IF(ISNUMBER(((NºAsuntos!I17/NºAsuntos!G17)*11)/factor_trimestre),((NºAsuntos!I17/NºAsuntos!G17)*11)/factor_trimestre," - ")</f>
        <v>1.3582089552238805</v>
      </c>
      <c r="AN17" s="244">
        <f>IF(ISNUMBER('Resol  Asuntos'!D17/NºAsuntos!G17),'Resol  Asuntos'!D17/NºAsuntos!G17," - ")</f>
        <v>0.32564450474898238</v>
      </c>
      <c r="AO17" s="245">
        <f>IF(ISNUMBER((NºAsuntos!C17+NºAsuntos!E17)/NºAsuntos!G17),(NºAsuntos!C17+NºAsuntos!E17)/NºAsuntos!G17," - ")</f>
        <v>1.1180461329715061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1909</v>
      </c>
      <c r="G18" s="866">
        <f>SUBTOTAL(9,G15:G17)</f>
        <v>1983</v>
      </c>
      <c r="H18" s="865">
        <f t="shared" ref="H18:O18" si="10">SUBTOTAL(9,H14:H17)</f>
        <v>0</v>
      </c>
      <c r="I18" s="867">
        <f t="shared" si="10"/>
        <v>0</v>
      </c>
      <c r="J18" s="867">
        <f t="shared" si="10"/>
        <v>0</v>
      </c>
      <c r="K18" s="867">
        <f t="shared" si="10"/>
        <v>0</v>
      </c>
      <c r="L18" s="867">
        <f t="shared" si="10"/>
        <v>379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15765</v>
      </c>
      <c r="X18" s="867">
        <f t="shared" si="11"/>
        <v>378</v>
      </c>
      <c r="Y18" s="868">
        <f t="shared" si="11"/>
        <v>15802</v>
      </c>
      <c r="Z18" s="868">
        <f t="shared" si="11"/>
        <v>0</v>
      </c>
      <c r="AA18" s="868">
        <f t="shared" si="11"/>
        <v>2294</v>
      </c>
      <c r="AB18" s="868">
        <f t="shared" si="11"/>
        <v>414</v>
      </c>
      <c r="AC18" s="868">
        <f t="shared" si="11"/>
        <v>2708</v>
      </c>
      <c r="AD18" s="868">
        <f t="shared" si="11"/>
        <v>0</v>
      </c>
      <c r="AE18" s="872">
        <f t="shared" si="11"/>
        <v>0</v>
      </c>
      <c r="AF18" s="865">
        <f t="shared" si="11"/>
        <v>0</v>
      </c>
      <c r="AG18" s="873">
        <f t="shared" si="11"/>
        <v>0</v>
      </c>
      <c r="AH18" s="870">
        <f t="shared" si="11"/>
        <v>0</v>
      </c>
      <c r="AI18" s="865">
        <f t="shared" si="11"/>
        <v>2090</v>
      </c>
      <c r="AJ18" s="867">
        <f t="shared" si="11"/>
        <v>0</v>
      </c>
      <c r="AK18" s="870">
        <f t="shared" si="11"/>
        <v>0</v>
      </c>
      <c r="AL18" s="874">
        <f>IF(ISNUMBER(NºAsuntos!G18/NºAsuntos!E18),NºAsuntos!G18/NºAsuntos!E18," - ")</f>
        <v>0.98205942814427205</v>
      </c>
      <c r="AM18" s="874">
        <f>IF(ISNUMBER(((NºAsuntos!I18/NºAsuntos!G18)*11)/factor_trimestre),((NºAsuntos!I18/NºAsuntos!G18)*11)/factor_trimestre," - ")</f>
        <v>1.6006343165239454</v>
      </c>
      <c r="AN18" s="875">
        <f>IF(ISNUMBER('Resol  Asuntos'!D18/NºAsuntos!G18),'Resol  Asuntos'!D18/NºAsuntos!G18," - ")</f>
        <v>0.13257215350459881</v>
      </c>
      <c r="AO18" s="876">
        <f>IF(ISNUMBER((NºAsuntos!C18+NºAsuntos!E18)/NºAsuntos!G18),(NºAsuntos!C18+NºAsuntos!E18)/NºAsuntos!G18," - ")</f>
        <v>1.1440532825880114</v>
      </c>
      <c r="AP18" s="877" t="str">
        <f t="shared" si="2"/>
        <v xml:space="preserve"> - </v>
      </c>
      <c r="AQ18" s="877">
        <f>IF(ISNUMBER((H18-W18+K18)/(F18)),(H18-W18+K18)/(F18)," - ")</f>
        <v>-8.2582503928758513</v>
      </c>
      <c r="AR18" s="878">
        <f>IF(ISNUMBER((Datos!P18-Datos!Q18)/(Datos!R18-Datos!P18+Datos!Q18)),(Datos!P18-Datos!Q18)/(Datos!R18-Datos!P18+Datos!Q18)," - ")</f>
        <v>2.4213075060532689E-3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1914</v>
      </c>
      <c r="G19" s="821">
        <f t="shared" si="13"/>
        <v>1988</v>
      </c>
      <c r="H19" s="820">
        <f t="shared" si="13"/>
        <v>0</v>
      </c>
      <c r="I19" s="822">
        <f t="shared" si="13"/>
        <v>0</v>
      </c>
      <c r="J19" s="822">
        <f t="shared" si="13"/>
        <v>0</v>
      </c>
      <c r="K19" s="881">
        <f t="shared" si="13"/>
        <v>0</v>
      </c>
      <c r="L19" s="822">
        <f t="shared" si="13"/>
        <v>2356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15878</v>
      </c>
      <c r="X19" s="821">
        <f t="shared" si="14"/>
        <v>2210</v>
      </c>
      <c r="Y19" s="828">
        <f t="shared" si="14"/>
        <v>17747</v>
      </c>
      <c r="Z19" s="828">
        <f t="shared" si="14"/>
        <v>0</v>
      </c>
      <c r="AA19" s="828">
        <f t="shared" si="14"/>
        <v>2313</v>
      </c>
      <c r="AB19" s="828">
        <f t="shared" si="14"/>
        <v>8052</v>
      </c>
      <c r="AC19" s="828">
        <f t="shared" si="14"/>
        <v>2761</v>
      </c>
      <c r="AD19" s="828">
        <f t="shared" si="14"/>
        <v>0</v>
      </c>
      <c r="AE19" s="830">
        <f t="shared" si="14"/>
        <v>0</v>
      </c>
      <c r="AF19" s="831">
        <f t="shared" si="14"/>
        <v>0</v>
      </c>
      <c r="AG19" s="832">
        <f t="shared" si="14"/>
        <v>0</v>
      </c>
      <c r="AH19" s="830">
        <f t="shared" si="14"/>
        <v>0</v>
      </c>
      <c r="AI19" s="820">
        <f t="shared" si="14"/>
        <v>5193</v>
      </c>
      <c r="AJ19" s="820">
        <f t="shared" si="14"/>
        <v>0</v>
      </c>
      <c r="AK19" s="830">
        <f t="shared" si="14"/>
        <v>0</v>
      </c>
      <c r="AL19" s="884">
        <f>IF(ISNUMBER(NºAsuntos!G19/NºAsuntos!E19),NºAsuntos!G19/NºAsuntos!E19," - ")</f>
        <v>0.9666808080148811</v>
      </c>
      <c r="AM19" s="885">
        <f>IF(ISNUMBER(((NºAsuntos!I19/NºAsuntos!G19)*11)/factor_trimestre),((NºAsuntos!I19/NºAsuntos!G19)*11)/factor_trimestre," - ")</f>
        <v>3.4757950172169334</v>
      </c>
      <c r="AN19" s="885">
        <f>IF(ISNUMBER('Resol  Asuntos'!D19/NºAsuntos!G19),'Resol  Asuntos'!D19/NºAsuntos!G19," - ")</f>
        <v>0.17530889203970021</v>
      </c>
      <c r="AO19" s="886">
        <f>IF(ISNUMBER((NºAsuntos!C19+NºAsuntos!E19)/NºAsuntos!G19),(NºAsuntos!C19+NºAsuntos!E19)/NºAsuntos!G19," - ")</f>
        <v>1.3149010870299103</v>
      </c>
      <c r="AP19" s="887" t="str">
        <f t="shared" si="2"/>
        <v xml:space="preserve"> - </v>
      </c>
      <c r="AQ19" s="888">
        <f>IF(OR(ISNUMBER(FIND("01",Criterios!A8,1)),ISNUMBER(FIND("02",Criterios!A8,1)),ISNUMBER(FIND("03",Criterios!A8,1)),ISNUMBER(FIND("04",Criterios!A8,1))),(I19-W19+K19)/(F19-K19),(H19-W19+K19)/(F19-K19))</f>
        <v>-8.2957157784743991</v>
      </c>
      <c r="AR19" s="889">
        <f>IF(ISNUMBER((Datos!P19-Datos!Q19)/(Datos!R19-Datos!P19+Datos!Q19)),(Datos!P19-Datos!Q19)/(Datos!R19-Datos!P19+Datos!Q19)," - ")</f>
        <v>1.8466987098406273E-2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662.66666666666663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2.3979157616563596</v>
      </c>
      <c r="F21" s="252">
        <f>IF(ISNUMBER(STDEV(F8:F18)),STDEV(F8:F18),"-")</f>
        <v>1043.7786163741812</v>
      </c>
      <c r="G21" s="253">
        <f>IF(ISNUMBER(STDEV(G8:G18)),STDEV(G8:G18),"-")</f>
        <v>987.75759509439706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7834.1661117611411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1378.0162501633592</v>
      </c>
      <c r="AJ21" s="252">
        <f t="shared" si="18"/>
        <v>0</v>
      </c>
      <c r="AK21" s="254">
        <f t="shared" si="18"/>
        <v>0</v>
      </c>
      <c r="AL21" s="249">
        <f t="shared" si="18"/>
        <v>4.028553930537862E-2</v>
      </c>
      <c r="AM21" s="250">
        <f t="shared" si="18"/>
        <v>2.2024068834110104</v>
      </c>
      <c r="AN21" s="250">
        <f t="shared" si="18"/>
        <v>0.15434679131059578</v>
      </c>
      <c r="AO21" s="251">
        <f t="shared" si="18"/>
        <v>0.20058947568179397</v>
      </c>
      <c r="AP21" s="291" t="str">
        <f t="shared" si="18"/>
        <v>-</v>
      </c>
      <c r="AQ21" s="292">
        <f t="shared" si="18"/>
        <v>10.141148401276988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oPenKxLJNU0VgRaX1wXJvYEOBlJpxNipBrCgzVRd8xg0GxKUVnMLV8bLqrxmeVL/EuX6KLQt6KNIcmh0MPiQQ==" saltValue="lvf2qO5KW4nRNI5Lt3vs3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ARRECIFE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0.70621152770005591</v>
      </c>
      <c r="I9" s="350">
        <f>IF(ISNUMBER((Tasas!C9-Datos!BE9)/Datos!BE9),(Tasas!C9-Datos!BE9)/Datos!BE9," - ")</f>
        <v>-0.14117370343049437</v>
      </c>
      <c r="J9" s="349">
        <f>IF(ISNUMBER((Tasas!D9-Datos!BF9)/Datos!BF9),(Tasas!D9-Datos!BF9)/Datos!BF9," - ")</f>
        <v>-0.63397547877011873</v>
      </c>
      <c r="K9" s="351">
        <f>IF(ISNUMBER((Tasas!E9-Datos!BG9)/Datos!BG9),(Tasas!E9-Datos!BG9)/Datos!BG9," - ")</f>
        <v>-5.4088051580679204E-2</v>
      </c>
      <c r="M9" t="e">
        <f>IF(Monitorios="SI",Datos!CE9,0)</f>
        <v>#REF!</v>
      </c>
      <c r="N9" t="e">
        <f>IF(Monitorios="SI",Datos!CF9,0)</f>
        <v>#REF!</v>
      </c>
      <c r="O9" t="e">
        <f>IF(Monitorios="SI",Datos!CG9,0)</f>
        <v>#REF!</v>
      </c>
      <c r="P9" t="e">
        <f>IF(Monitorios="SI",Datos!CH9,0)</f>
        <v>#REF!</v>
      </c>
      <c r="Q9">
        <f>IF(J_V="SI",0,Datos!AG9)</f>
        <v>179</v>
      </c>
      <c r="R9">
        <f>IF(J_V="SI",0,Datos!AH9)</f>
        <v>511</v>
      </c>
      <c r="S9">
        <f>IF(J_V="SI",0,Datos!AI9)</f>
        <v>479</v>
      </c>
      <c r="T9">
        <f>IF(J_V="SI",0,Datos!AJ9)</f>
        <v>213</v>
      </c>
    </row>
    <row r="10" spans="2:20" ht="14.25">
      <c r="B10" s="275" t="s">
        <v>246</v>
      </c>
      <c r="C10" s="7" t="str">
        <f>Datos!A10</f>
        <v>Jdos. Violencia contra la mujer</v>
      </c>
      <c r="D10" s="352">
        <f>IF(ISNUMBER((Datos!I10-Datos!S10)/Datos!S10),(Datos!I10-Datos!S10)/Datos!S10," - ")</f>
        <v>-0.54545454545454541</v>
      </c>
      <c r="E10" s="348">
        <f>IF(ISNUMBER((Datos!J10-Datos!T10)/Datos!T10),(Datos!J10-Datos!T10)/Datos!T10," - ")</f>
        <v>0.29591836734693877</v>
      </c>
      <c r="F10" s="348">
        <f>IF(ISNUMBER((Datos!K10-Datos!U10)/Datos!U10),(Datos!K10-Datos!U10)/Datos!U10," - ")</f>
        <v>8.6538461538461536E-2</v>
      </c>
      <c r="G10" s="349">
        <f>IF(ISNUMBER((Datos!L10-Datos!V10)/Datos!V10),(Datos!L10-Datos!V10)/Datos!V10," - ")</f>
        <v>2.8</v>
      </c>
      <c r="H10" s="230">
        <f>IF(ISNUMBER((Datos!M10-Datos!W10)/Datos!W10),(Datos!M10-Datos!W10)/Datos!W10," - ")</f>
        <v>0.35</v>
      </c>
      <c r="I10" s="350">
        <f>IF(ISNUMBER((Tasas!C10-Datos!BE10)/Datos!BE10),(Tasas!C10-Datos!BE10)/Datos!BE10," - ")</f>
        <v>2.4973451327433631</v>
      </c>
      <c r="J10" s="349">
        <f>IF(ISNUMBER((Tasas!D10-Datos!BF10)/Datos!BF10),(Tasas!D10-Datos!BF10)/Datos!BF10," - ")</f>
        <v>0.24247787610619467</v>
      </c>
      <c r="K10" s="351">
        <f>IF(ISNUMBER((Tasas!E10-Datos!BG10)/Datos!BG10),(Tasas!E10-Datos!BG10)/Datos!BG10," - ")</f>
        <v>0.11455711618088818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f>IF(ISNUMBER((Tasas!D12-Datos!BF12)/Datos!BF12),(Tasas!D12-Datos!BF12)/Datos!BF12," - ")</f>
        <v>-1</v>
      </c>
      <c r="K12" s="351">
        <f>IF(ISNUMBER((Tasas!E12-Datos!BG12)/Datos!BG12),(Tasas!E12-Datos!BG12)/Datos!BG12," - ")</f>
        <v>0</v>
      </c>
      <c r="M12" t="e">
        <f>IF(Monitorios="SI",Datos!CE12,0)</f>
        <v>#REF!</v>
      </c>
      <c r="N12" t="e">
        <f>IF(Monitorios="SI",Datos!CF12,0)</f>
        <v>#REF!</v>
      </c>
      <c r="O12" t="e">
        <f>IF(Monitorios="SI",Datos!CG12,0)</f>
        <v>#REF!</v>
      </c>
      <c r="P12" t="e">
        <f>IF(Monitorios="SI",Datos!CH12,0)</f>
        <v>#REF!</v>
      </c>
      <c r="Q12">
        <f>IF(J_V="SI",0,Datos!AG12)</f>
        <v>0</v>
      </c>
      <c r="R12">
        <f>IF(J_V="SI",0,Datos!AH12)</f>
        <v>5</v>
      </c>
      <c r="S12">
        <f>IF(J_V="SI",0,Datos!AI12)</f>
        <v>5</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0.69841269841269837</v>
      </c>
      <c r="I13" s="357">
        <f>IF(ISNUMBER((Tasas!C13-Datos!BE13)/Datos!BE13),(Tasas!C13-Datos!BE13)/Datos!BE13," - ")</f>
        <v>-0.13787248691877005</v>
      </c>
      <c r="J13" s="355">
        <f>IF(ISNUMBER((Tasas!D13-Datos!BF13)/Datos!BF13),(Tasas!D13-Datos!BF13)/Datos!BF13," - ")</f>
        <v>-0.62942871142621715</v>
      </c>
      <c r="K13" s="358">
        <f>IF(ISNUMBER((Tasas!E13-Datos!BG13)/Datos!BG13),(Tasas!E13-Datos!BG13)/Datos!BG13," - ")</f>
        <v>-5.253933581055887E-2</v>
      </c>
      <c r="M13" t="e">
        <f>IF(Monitorios="SI",Datos!CE13,0)</f>
        <v>#REF!</v>
      </c>
      <c r="N13" t="e">
        <f>IF(Monitorios="SI",Datos!CF13,0)</f>
        <v>#REF!</v>
      </c>
      <c r="O13" t="e">
        <f>IF(Monitorios="SI",Datos!CG13,0)</f>
        <v>#REF!</v>
      </c>
      <c r="P13" t="e">
        <f>IF(Monitorios="SI",Datos!CH13,0)</f>
        <v>#REF!</v>
      </c>
      <c r="Q13">
        <f>IF(J_V="SI",0,Datos!AG13)</f>
        <v>179</v>
      </c>
      <c r="R13">
        <f>IF(J_V="SI",0,Datos!AH13)</f>
        <v>516</v>
      </c>
      <c r="S13">
        <f>IF(J_V="SI",0,Datos!AI13)</f>
        <v>484</v>
      </c>
      <c r="T13">
        <f>IF(J_V="SI",0,Datos!AJ13)</f>
        <v>213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0.23448726322664926</v>
      </c>
      <c r="E15" s="348">
        <f>IF(ISNUMBER(
   IF(D_I="SI",(Datos!J15-Datos!T15)/Datos!T15,(Datos!J15+Datos!AD15-(Datos!T15+Datos!AL15))/(Datos!T15+Datos!AL15))
     ),IF(D_I="SI",(Datos!J15-Datos!T15)/Datos!T15,(Datos!J15+Datos!AD15-(Datos!T15+Datos!AL15))/(Datos!T15+Datos!AL15))," - ")</f>
        <v>9.1854913418370987E-2</v>
      </c>
      <c r="F15" s="348">
        <f>IF(ISNUMBER(
   IF(D_I="SI",(Datos!K15-Datos!U15)/Datos!U15,(Datos!K15+Datos!AE15-(Datos!U15+Datos!AM15))/(Datos!U15+Datos!AM15))
     ),IF(D_I="SI",(Datos!K15-Datos!U15)/Datos!U15,(Datos!K15+Datos!AE15-(Datos!U15+Datos!AM15))/(Datos!U15+Datos!AM15))," - ")</f>
        <v>9.056603773584905E-2</v>
      </c>
      <c r="G15" s="349">
        <f>IF(ISNUMBER(
   IF(D_I="SI",(Datos!L15-Datos!V15)/Datos!V15,(Datos!L15+Datos!AF15-(Datos!V15+Datos!AN15))/(Datos!V15+Datos!AN15))
     ),IF(D_I="SI",(Datos!L15-Datos!V15)/Datos!V15,(Datos!L15+Datos!AF15-(Datos!V15+Datos!AN15))/(Datos!V15+Datos!AN15))," - ")</f>
        <v>0.16560846560846562</v>
      </c>
      <c r="H15" s="230">
        <f>IF(ISNUMBER((Datos!M15-Datos!W15)/Datos!W15),(Datos!M15-Datos!W15)/Datos!W15," - ")</f>
        <v>0.17834394904458598</v>
      </c>
      <c r="I15" s="350">
        <f>IF(ISNUMBER((Tasas!C15-Datos!BE15)/Datos!BE15),(Tasas!C15-Datos!BE15)/Datos!BE15," - ")</f>
        <v>6.8810530748247056E-2</v>
      </c>
      <c r="J15" s="349">
        <f>IF(ISNUMBER((Tasas!D15-Datos!BF15)/Datos!BF15),(Tasas!D15-Datos!BF15)/Datos!BF15," - ")</f>
        <v>8.0488396182751915E-2</v>
      </c>
      <c r="K15" s="351">
        <f>IF(ISNUMBER((Tasas!E15-Datos!BG15)/Datos!BG15),(Tasas!E15-Datos!BG15)/Datos!BG15," - ")</f>
        <v>1.4047144550595437E-2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-0.1388888888888889</v>
      </c>
      <c r="E17" s="348">
        <f>IF(ISNUMBER(
   IF(D_I="SI",(Datos!J17-Datos!T17)/Datos!T17,(Datos!J17+Datos!AD17-(Datos!T17+Datos!AL17))/(Datos!T17+Datos!AL17))
     ),IF(D_I="SI",(Datos!J17-Datos!T17)/Datos!T17,(Datos!J17+Datos!AD17-(Datos!T17+Datos!AL17))/(Datos!T17+Datos!AL17))," - ")</f>
        <v>0.16586921850079744</v>
      </c>
      <c r="F17" s="348">
        <f>IF(ISNUMBER(
   IF(D_I="SI",(Datos!K17-Datos!U17)/Datos!U17,(Datos!K17+Datos!AE17-(Datos!U17+Datos!AM17))/(Datos!U17+Datos!AM17))
     ),IF(D_I="SI",(Datos!K17-Datos!U17)/Datos!U17,(Datos!K17+Datos!AE17-(Datos!U17+Datos!AM17))/(Datos!U17+Datos!AM17))," - ")</f>
        <v>0.13384615384615384</v>
      </c>
      <c r="G17" s="349">
        <f>IF(ISNUMBER(
   IF(D_I="SI",(Datos!L17-Datos!V17)/Datos!V17,(Datos!L17+Datos!AF17-(Datos!V17+Datos!AN17))/(Datos!V17+Datos!AN17))
     ),IF(D_I="SI",(Datos!L17-Datos!V17)/Datos!V17,(Datos!L17+Datos!AF17-(Datos!V17+Datos!AN17))/(Datos!V17+Datos!AN17))," - ")</f>
        <v>-2.1505376344086023E-2</v>
      </c>
      <c r="H17" s="230">
        <f>IF(ISNUMBER((Datos!M17-Datos!W17)/Datos!W17),(Datos!M17-Datos!W17)/Datos!W17," - ")</f>
        <v>0.27659574468085107</v>
      </c>
      <c r="I17" s="350">
        <f>IF(ISNUMBER((Tasas!C17-Datos!BE17)/Datos!BE17),(Tasas!C17-Datos!BE17)/Datos!BE17," - ")</f>
        <v>-0.1370128828000759</v>
      </c>
      <c r="J17" s="349">
        <f>IF(ISNUMBER((Tasas!D17-Datos!BF17)/Datos!BF17),(Tasas!D17-Datos!BF17)/Datos!BF17," - ")</f>
        <v>0.1258985536533965</v>
      </c>
      <c r="K17" s="351">
        <f>IF(ISNUMBER((Tasas!E17-Datos!BG17)/Datos!BG17),(Tasas!E17-Datos!BG17)/Datos!BG17," - ")</f>
        <v>-1.1251719140844907E-2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0.20914634146341463</v>
      </c>
      <c r="E18" s="354">
        <f>IF(ISNUMBER(
   IF(D_I="SI",(Datos!J18-Datos!T18)/Datos!T18,(Datos!J18+Datos!AD18-(Datos!T18+Datos!AL18))/(Datos!T18+Datos!AL18))
     ),IF(D_I="SI",(Datos!J18-Datos!T18)/Datos!T18,(Datos!J18+Datos!AD18-(Datos!T18+Datos!AL18))/(Datos!T18+Datos!AL18))," - ")</f>
        <v>9.5020463847203279E-2</v>
      </c>
      <c r="F18" s="354">
        <f>IF(ISNUMBER(
   IF(D_I="SI",(Datos!K18-Datos!U18)/Datos!U18,(Datos!K18+Datos!AE18-(Datos!U18+Datos!AM18))/(Datos!U18+Datos!AM18))
     ),IF(D_I="SI",(Datos!K18-Datos!U18)/Datos!U18,(Datos!K18+Datos!AE18-(Datos!U18+Datos!AM18))/(Datos!U18+Datos!AM18))," - ")</f>
        <v>9.2515592515592521E-2</v>
      </c>
      <c r="G18" s="355">
        <f>IF(ISNUMBER(
   IF(D_I="SI",(Datos!L18-Datos!V18)/Datos!V18,(Datos!L18+Datos!AF18-(Datos!V18+Datos!AN18))/(Datos!V18+Datos!AN18))
     ),IF(D_I="SI",(Datos!L18-Datos!V18)/Datos!V18,(Datos!L18+Datos!AF18-(Datos!V18+Datos!AN18))/(Datos!V18+Datos!AN18))," - ")</f>
        <v>0.15683308119011599</v>
      </c>
      <c r="H18" s="356">
        <f>IF(ISNUMBER((Datos!M18-Datos!W18)/Datos!W18),(Datos!M18-Datos!W18)/Datos!W18," - ")</f>
        <v>0.18885096700796358</v>
      </c>
      <c r="I18" s="357">
        <f>IF(ISNUMBER((Tasas!C18-Datos!BE18)/Datos!BE18),(Tasas!C18-Datos!BE18)/Datos!BE18," - ")</f>
        <v>5.8871002954225954E-2</v>
      </c>
      <c r="J18" s="355">
        <f>IF(ISNUMBER((Tasas!D18-Datos!BF18)/Datos!BF18),(Tasas!D18-Datos!BF18)/Datos!BF18," - ")</f>
        <v>8.8177573988259761E-2</v>
      </c>
      <c r="K18" s="358">
        <f>IF(ISNUMBER((Tasas!E18-Datos!BG18)/Datos!BG18),(Tasas!E18-Datos!BG18)/Datos!BG18," - ")</f>
        <v>1.2802998021165917E-2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0.20147526757304021</v>
      </c>
      <c r="E19" s="363">
        <f>IF(ISNUMBER(
   IF(J_V="SI",(Datos!J19-Datos!T19)/Datos!T19,(Datos!J19+Datos!Z19-(Datos!T19+Datos!AH19))/(Datos!T19+Datos!AH19))
     ),IF(J_V="SI",(Datos!J19-Datos!T19)/Datos!T19,(Datos!J19+Datos!Z19-(Datos!T19+Datos!AH19))/(Datos!T19+Datos!AH19))," - ")</f>
        <v>0.15992883639942462</v>
      </c>
      <c r="F19" s="363">
        <f>IF(ISNUMBER(
   IF(J_V="SI",(Datos!K19-Datos!U19)/Datos!U19,(Datos!K19+Datos!AA19-(Datos!U19+Datos!AI19))/(Datos!U19+Datos!AI19))
     ),IF(J_V="SI",(Datos!K19-Datos!U19)/Datos!U19,(Datos!K19+Datos!AA19-(Datos!U19+Datos!AI19))/(Datos!U19+Datos!AI19))," - ")</f>
        <v>0.17912586577501791</v>
      </c>
      <c r="G19" s="364">
        <f>IF(ISNUMBER(
   IF(J_V="SI",(Datos!L19-Datos!V19)/Datos!V19,(Datos!L19+Datos!AB19-(Datos!V19+Datos!AJ19))/(Datos!V19+Datos!AJ19))
     ),IF(J_V="SI",(Datos!L19-Datos!V19)/Datos!V19,(Datos!L19+Datos!AB19-(Datos!V19+Datos!AJ19))/(Datos!V19+Datos!AJ19))," - ")</f>
        <v>0.12676056338028169</v>
      </c>
      <c r="H19" s="365">
        <f>IF(ISNUMBER((Datos!M19-Datos!W19)/Datos!W19),(Datos!M19-Datos!W19)/Datos!W19," - ")</f>
        <v>0.4485355648535565</v>
      </c>
      <c r="I19" s="362">
        <f>IF(ISNUMBER((Tasas!C19-Datos!BE19)/Datos!BE19),(Tasas!C19-Datos!BE19)/Datos!BE19," - ")</f>
        <v>-4.4410273673639977E-2</v>
      </c>
      <c r="J19" s="363">
        <f>IF(ISNUMBER((Tasas!D19-Datos!BF19)/Datos!BF19),(Tasas!D19-Datos!BF19)/Datos!BF19," - ")</f>
        <v>-0.46415500841691826</v>
      </c>
      <c r="K19" s="364">
        <f>IF(ISNUMBER((Tasas!E19-Datos!BG19)/Datos!BG19),(Tasas!E19-Datos!BG19)/Datos!BG19," - ")</f>
        <v>-8.9720056292629542E-3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0.52622834328292578</v>
      </c>
      <c r="E21" s="278">
        <f t="shared" si="1"/>
        <v>9.5490979538108159E-2</v>
      </c>
      <c r="F21" s="278">
        <f t="shared" si="1"/>
        <v>2.2126812035934362E-2</v>
      </c>
      <c r="G21" s="279">
        <f t="shared" si="1"/>
        <v>1.352594294573731</v>
      </c>
      <c r="H21" s="285">
        <f t="shared" si="1"/>
        <v>0.24259396068158562</v>
      </c>
      <c r="I21" s="277">
        <f t="shared" si="1"/>
        <v>1.0477965889145284</v>
      </c>
      <c r="J21" s="278">
        <f t="shared" si="1"/>
        <v>0.49349845059508263</v>
      </c>
      <c r="K21" s="279">
        <f t="shared" si="1"/>
        <v>5.6595038384493639E-2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x6UyRGC/wvNgf1o2MXOeItDh+3l8r9HRO/ixNCLdvyr6C04u1LkZMx6tgv6TFQd9AzGak4JGpkkBY4r1UiBIQ==" saltValue="R++DOzEcmZJb5TrvH4sp4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